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90" windowWidth="15975" windowHeight="11970" activeTab="7"/>
  </bookViews>
  <sheets>
    <sheet name="นครนายก" sheetId="1" r:id="rId1"/>
    <sheet name="นนทบุรี" sheetId="2" r:id="rId2"/>
    <sheet name="ปทุมธานี" sheetId="3" r:id="rId3"/>
    <sheet name="อยุธยา" sheetId="9" r:id="rId4"/>
    <sheet name="ลพบุรี" sheetId="5" r:id="rId5"/>
    <sheet name="สระบุรี" sheetId="6" r:id="rId6"/>
    <sheet name="สิงห์บุรี" sheetId="7" r:id="rId7"/>
    <sheet name="อ่างทอง" sheetId="8" r:id="rId8"/>
  </sheets>
  <externalReferences>
    <externalReference r:id="rId9"/>
  </externalReferences>
  <definedNames>
    <definedName name="_xlnm._FilterDatabase" localSheetId="5" hidden="1">สระบุรี!$C$1:$C$21</definedName>
    <definedName name="DATA" localSheetId="3">#REF!</definedName>
    <definedName name="DATA">#REF!</definedName>
  </definedNames>
  <calcPr calcId="144525"/>
</workbook>
</file>

<file path=xl/calcChain.xml><?xml version="1.0" encoding="utf-8"?>
<calcChain xmlns="http://schemas.openxmlformats.org/spreadsheetml/2006/main">
  <c r="H12" i="9" l="1"/>
  <c r="H3" i="9"/>
  <c r="H2" i="9"/>
  <c r="C3" i="1" l="1"/>
  <c r="C2" i="1"/>
  <c r="R12" i="9" l="1"/>
  <c r="R3" i="9"/>
  <c r="R2" i="9"/>
  <c r="Q12" i="9"/>
  <c r="Q3" i="9"/>
  <c r="Q4" i="9" s="1"/>
  <c r="Q2" i="9"/>
  <c r="P12" i="9"/>
  <c r="P3" i="9"/>
  <c r="P2" i="9"/>
  <c r="O12" i="9"/>
  <c r="O3" i="9"/>
  <c r="O2" i="9"/>
  <c r="N12" i="9"/>
  <c r="N3" i="9"/>
  <c r="N2" i="9"/>
  <c r="M12" i="9"/>
  <c r="M8" i="9"/>
  <c r="M3" i="9"/>
  <c r="M2" i="9"/>
  <c r="L12" i="9"/>
  <c r="L3" i="9"/>
  <c r="L2" i="9"/>
  <c r="K12" i="9"/>
  <c r="K8" i="9"/>
  <c r="K3" i="9"/>
  <c r="K2" i="9"/>
  <c r="J12" i="9"/>
  <c r="J3" i="9"/>
  <c r="J2" i="9"/>
  <c r="I12" i="9"/>
  <c r="I3" i="9"/>
  <c r="I2" i="9"/>
  <c r="G12" i="9"/>
  <c r="G3" i="9"/>
  <c r="G2" i="9"/>
  <c r="F12" i="9"/>
  <c r="F3" i="9"/>
  <c r="F2" i="9"/>
  <c r="E12" i="9"/>
  <c r="E3" i="9"/>
  <c r="E2" i="9"/>
  <c r="Q13" i="9"/>
  <c r="R13" i="9"/>
  <c r="Q14" i="9"/>
  <c r="R14" i="9"/>
  <c r="O4" i="9"/>
  <c r="O17" i="9" s="1"/>
  <c r="P4" i="9"/>
  <c r="P5" i="9" s="1"/>
  <c r="O5" i="9"/>
  <c r="O6" i="9"/>
  <c r="O9" i="9" s="1"/>
  <c r="O8" i="9"/>
  <c r="O13" i="9"/>
  <c r="P13" i="9"/>
  <c r="O14" i="9"/>
  <c r="P14" i="9"/>
  <c r="P17" i="9"/>
  <c r="K4" i="9"/>
  <c r="L4" i="9"/>
  <c r="L8" i="9" s="1"/>
  <c r="M4" i="9"/>
  <c r="N4" i="9"/>
  <c r="N8" i="9" s="1"/>
  <c r="K5" i="9"/>
  <c r="L5" i="9"/>
  <c r="M5" i="9"/>
  <c r="N5" i="9"/>
  <c r="K6" i="9"/>
  <c r="K9" i="9" s="1"/>
  <c r="L6" i="9"/>
  <c r="L9" i="9" s="1"/>
  <c r="M6" i="9"/>
  <c r="M9" i="9" s="1"/>
  <c r="N6" i="9"/>
  <c r="N9" i="9"/>
  <c r="N10" i="9" s="1"/>
  <c r="K13" i="9"/>
  <c r="L13" i="9"/>
  <c r="M13" i="9"/>
  <c r="N13" i="9"/>
  <c r="K14" i="9"/>
  <c r="L14" i="9"/>
  <c r="M14" i="9"/>
  <c r="N14" i="9"/>
  <c r="N15" i="9"/>
  <c r="N16" i="9" s="1"/>
  <c r="N19" i="9" s="1"/>
  <c r="K17" i="9"/>
  <c r="L17" i="9"/>
  <c r="M17" i="9"/>
  <c r="N17" i="9"/>
  <c r="N18" i="9"/>
  <c r="D12" i="9"/>
  <c r="C12" i="9"/>
  <c r="D3" i="9"/>
  <c r="C3" i="9"/>
  <c r="D2" i="9"/>
  <c r="C2" i="9"/>
  <c r="I13" i="9"/>
  <c r="I14" i="9" s="1"/>
  <c r="G13" i="9"/>
  <c r="G14" i="9" s="1"/>
  <c r="E13" i="9"/>
  <c r="E14" i="9" s="1"/>
  <c r="C13" i="9"/>
  <c r="C14" i="9" s="1"/>
  <c r="J13" i="9"/>
  <c r="J14" i="9" s="1"/>
  <c r="H13" i="9"/>
  <c r="H14" i="9" s="1"/>
  <c r="F13" i="9"/>
  <c r="F14" i="9" s="1"/>
  <c r="D13" i="9"/>
  <c r="D14" i="9" s="1"/>
  <c r="J4" i="9"/>
  <c r="I4" i="9"/>
  <c r="H4" i="9"/>
  <c r="G4" i="9"/>
  <c r="F4" i="9"/>
  <c r="E4" i="9"/>
  <c r="D4" i="9"/>
  <c r="C4" i="9"/>
  <c r="I12" i="2"/>
  <c r="I3" i="2"/>
  <c r="I2" i="2"/>
  <c r="H12" i="2"/>
  <c r="H3" i="2"/>
  <c r="H2" i="2"/>
  <c r="G12" i="2"/>
  <c r="G3" i="2"/>
  <c r="G2" i="2"/>
  <c r="F12" i="2"/>
  <c r="F3" i="2"/>
  <c r="F2" i="2"/>
  <c r="E12" i="2"/>
  <c r="E3" i="2"/>
  <c r="E2" i="2"/>
  <c r="D12" i="2"/>
  <c r="D3" i="2"/>
  <c r="D2" i="2"/>
  <c r="C12" i="2"/>
  <c r="C3" i="2"/>
  <c r="C2" i="2"/>
  <c r="R4" i="9" l="1"/>
  <c r="R5" i="9" s="1"/>
  <c r="R8" i="9"/>
  <c r="R17" i="9"/>
  <c r="Q5" i="9"/>
  <c r="Q6" i="9"/>
  <c r="Q9" i="9" s="1"/>
  <c r="Q10" i="9" s="1"/>
  <c r="Q8" i="9"/>
  <c r="Q17" i="9"/>
  <c r="Q15" i="9"/>
  <c r="Q16" i="9" s="1"/>
  <c r="Q19" i="9" s="1"/>
  <c r="Q18" i="9"/>
  <c r="P8" i="9"/>
  <c r="P6" i="9"/>
  <c r="P9" i="9" s="1"/>
  <c r="O18" i="9"/>
  <c r="O10" i="9"/>
  <c r="O15" i="9"/>
  <c r="O16" i="9" s="1"/>
  <c r="O19" i="9" s="1"/>
  <c r="O20" i="9" s="1"/>
  <c r="O21" i="9" s="1"/>
  <c r="N20" i="9"/>
  <c r="N21" i="9" s="1"/>
  <c r="M10" i="9"/>
  <c r="M15" i="9"/>
  <c r="M16" i="9" s="1"/>
  <c r="M19" i="9" s="1"/>
  <c r="M18" i="9"/>
  <c r="L10" i="9"/>
  <c r="L18" i="9"/>
  <c r="L15" i="9"/>
  <c r="L16" i="9" s="1"/>
  <c r="L19" i="9" s="1"/>
  <c r="L20" i="9" s="1"/>
  <c r="L21" i="9" s="1"/>
  <c r="K10" i="9"/>
  <c r="K15" i="9"/>
  <c r="K16" i="9" s="1"/>
  <c r="K19" i="9" s="1"/>
  <c r="K18" i="9"/>
  <c r="D17" i="9"/>
  <c r="D8" i="9"/>
  <c r="D6" i="9"/>
  <c r="D9" i="9" s="1"/>
  <c r="D5" i="9"/>
  <c r="F17" i="9"/>
  <c r="F8" i="9"/>
  <c r="F6" i="9"/>
  <c r="F9" i="9" s="1"/>
  <c r="F5" i="9"/>
  <c r="H17" i="9"/>
  <c r="H8" i="9"/>
  <c r="H6" i="9"/>
  <c r="H9" i="9" s="1"/>
  <c r="H5" i="9"/>
  <c r="J17" i="9"/>
  <c r="J8" i="9"/>
  <c r="J6" i="9"/>
  <c r="J9" i="9" s="1"/>
  <c r="J5" i="9"/>
  <c r="C6" i="9"/>
  <c r="C9" i="9" s="1"/>
  <c r="C5" i="9"/>
  <c r="C17" i="9"/>
  <c r="E6" i="9"/>
  <c r="E9" i="9" s="1"/>
  <c r="E5" i="9"/>
  <c r="E17" i="9"/>
  <c r="G6" i="9"/>
  <c r="G9" i="9" s="1"/>
  <c r="G5" i="9"/>
  <c r="G17" i="9"/>
  <c r="I6" i="9"/>
  <c r="I9" i="9" s="1"/>
  <c r="I5" i="9"/>
  <c r="I17" i="9"/>
  <c r="E8" i="9"/>
  <c r="I8" i="9"/>
  <c r="C8" i="9"/>
  <c r="G8" i="9"/>
  <c r="I12" i="8"/>
  <c r="I3" i="8"/>
  <c r="I2" i="8"/>
  <c r="H12" i="8"/>
  <c r="H3" i="8"/>
  <c r="H2" i="8"/>
  <c r="G12" i="8"/>
  <c r="G3" i="8"/>
  <c r="G2" i="8"/>
  <c r="F12" i="8"/>
  <c r="F3" i="8"/>
  <c r="F2" i="8"/>
  <c r="E12" i="8"/>
  <c r="E3" i="8"/>
  <c r="E2" i="8"/>
  <c r="D12" i="8"/>
  <c r="D3" i="8"/>
  <c r="D2" i="8"/>
  <c r="C12" i="8"/>
  <c r="R6" i="9" l="1"/>
  <c r="R9" i="9" s="1"/>
  <c r="R10" i="9" s="1"/>
  <c r="Q20" i="9"/>
  <c r="Q21" i="9" s="1"/>
  <c r="P15" i="9"/>
  <c r="P16" i="9" s="1"/>
  <c r="P19" i="9" s="1"/>
  <c r="P20" i="9" s="1"/>
  <c r="P21" i="9" s="1"/>
  <c r="P18" i="9"/>
  <c r="P10" i="9"/>
  <c r="M20" i="9"/>
  <c r="M21" i="9" s="1"/>
  <c r="K20" i="9"/>
  <c r="K21" i="9" s="1"/>
  <c r="C18" i="9"/>
  <c r="C15" i="9"/>
  <c r="C16" i="9" s="1"/>
  <c r="C19" i="9" s="1"/>
  <c r="C20" i="9" s="1"/>
  <c r="C21" i="9" s="1"/>
  <c r="C10" i="9"/>
  <c r="I18" i="9"/>
  <c r="I15" i="9"/>
  <c r="I16" i="9" s="1"/>
  <c r="I19" i="9" s="1"/>
  <c r="I10" i="9"/>
  <c r="E18" i="9"/>
  <c r="E15" i="9"/>
  <c r="E16" i="9" s="1"/>
  <c r="E19" i="9" s="1"/>
  <c r="E10" i="9"/>
  <c r="G18" i="9"/>
  <c r="G15" i="9"/>
  <c r="G16" i="9" s="1"/>
  <c r="G19" i="9" s="1"/>
  <c r="G10" i="9"/>
  <c r="J18" i="9"/>
  <c r="J15" i="9"/>
  <c r="J16" i="9" s="1"/>
  <c r="J19" i="9" s="1"/>
  <c r="J10" i="9"/>
  <c r="H18" i="9"/>
  <c r="H15" i="9"/>
  <c r="H16" i="9" s="1"/>
  <c r="H19" i="9" s="1"/>
  <c r="H10" i="9"/>
  <c r="F18" i="9"/>
  <c r="F15" i="9"/>
  <c r="F16" i="9" s="1"/>
  <c r="F19" i="9" s="1"/>
  <c r="F20" i="9" s="1"/>
  <c r="F21" i="9" s="1"/>
  <c r="F10" i="9"/>
  <c r="D18" i="9"/>
  <c r="D15" i="9"/>
  <c r="D16" i="9" s="1"/>
  <c r="D19" i="9" s="1"/>
  <c r="D10" i="9"/>
  <c r="E12" i="6"/>
  <c r="E3" i="6"/>
  <c r="E2" i="6"/>
  <c r="R18" i="9" l="1"/>
  <c r="R15" i="9"/>
  <c r="R16" i="9" s="1"/>
  <c r="R19" i="9" s="1"/>
  <c r="I20" i="9"/>
  <c r="I21" i="9" s="1"/>
  <c r="J20" i="9"/>
  <c r="J21" i="9" s="1"/>
  <c r="D20" i="9"/>
  <c r="D21" i="9" s="1"/>
  <c r="H20" i="9"/>
  <c r="H21" i="9" s="1"/>
  <c r="G20" i="9"/>
  <c r="G21" i="9" s="1"/>
  <c r="E20" i="9"/>
  <c r="E21" i="9" s="1"/>
  <c r="C3" i="8"/>
  <c r="C2" i="8"/>
  <c r="R20" i="9" l="1"/>
  <c r="R21" i="9" s="1"/>
  <c r="N12" i="6"/>
  <c r="N3" i="6"/>
  <c r="N2" i="6"/>
  <c r="M12" i="6"/>
  <c r="M3" i="6"/>
  <c r="M2" i="6"/>
  <c r="L12" i="6"/>
  <c r="L3" i="6"/>
  <c r="L2" i="6"/>
  <c r="K12" i="6"/>
  <c r="K3" i="6"/>
  <c r="K2" i="6"/>
  <c r="J12" i="6"/>
  <c r="J3" i="6"/>
  <c r="J2" i="6"/>
  <c r="I12" i="6"/>
  <c r="I3" i="6"/>
  <c r="I2" i="6"/>
  <c r="H12" i="6"/>
  <c r="H3" i="6"/>
  <c r="H2" i="6"/>
  <c r="G12" i="6"/>
  <c r="G3" i="6"/>
  <c r="G2" i="6"/>
  <c r="F12" i="6"/>
  <c r="F3" i="6"/>
  <c r="F2" i="6"/>
  <c r="D12" i="6"/>
  <c r="D3" i="6"/>
  <c r="D2" i="6"/>
  <c r="C12" i="6"/>
  <c r="C3" i="6"/>
  <c r="C2" i="6"/>
  <c r="F12" i="5" l="1"/>
  <c r="F3" i="5"/>
  <c r="F2" i="5"/>
  <c r="H12" i="7" l="1"/>
  <c r="H3" i="7"/>
  <c r="H2" i="7"/>
  <c r="G12" i="7"/>
  <c r="G3" i="7"/>
  <c r="G2" i="7"/>
  <c r="F12" i="7"/>
  <c r="F3" i="7"/>
  <c r="F2" i="7"/>
  <c r="E12" i="7"/>
  <c r="E3" i="7"/>
  <c r="E2" i="7"/>
  <c r="D12" i="7"/>
  <c r="D3" i="7"/>
  <c r="D2" i="7"/>
  <c r="C12" i="7"/>
  <c r="C3" i="7"/>
  <c r="C2" i="7"/>
  <c r="H2" i="3" l="1"/>
  <c r="M12" i="5" l="1"/>
  <c r="M3" i="5"/>
  <c r="M2" i="5"/>
  <c r="L12" i="5"/>
  <c r="L3" i="5"/>
  <c r="L2" i="5"/>
  <c r="K12" i="5"/>
  <c r="K3" i="5"/>
  <c r="K2" i="5"/>
  <c r="J12" i="5"/>
  <c r="J3" i="5"/>
  <c r="J2" i="5"/>
  <c r="I12" i="5"/>
  <c r="I3" i="5"/>
  <c r="I2" i="5"/>
  <c r="H12" i="5"/>
  <c r="H3" i="5"/>
  <c r="H2" i="5"/>
  <c r="G12" i="5"/>
  <c r="G3" i="5"/>
  <c r="G2" i="5"/>
  <c r="E12" i="5"/>
  <c r="E3" i="5"/>
  <c r="E2" i="5"/>
  <c r="D12" i="5"/>
  <c r="D3" i="5"/>
  <c r="D2" i="5"/>
  <c r="C12" i="5"/>
  <c r="C3" i="5"/>
  <c r="C2" i="5"/>
  <c r="C4" i="5"/>
  <c r="J12" i="3"/>
  <c r="J3" i="3"/>
  <c r="J2" i="3"/>
  <c r="I12" i="3"/>
  <c r="I3" i="3"/>
  <c r="I2" i="3"/>
  <c r="H12" i="3"/>
  <c r="H3" i="3"/>
  <c r="G12" i="3"/>
  <c r="G8" i="3"/>
  <c r="G3" i="3"/>
  <c r="G2" i="3"/>
  <c r="F12" i="3"/>
  <c r="F3" i="3"/>
  <c r="F2" i="3"/>
  <c r="E12" i="3"/>
  <c r="E3" i="3"/>
  <c r="E2" i="3"/>
  <c r="D12" i="3"/>
  <c r="D3" i="3"/>
  <c r="D2" i="3"/>
  <c r="C12" i="3"/>
  <c r="C3" i="3"/>
  <c r="C2" i="3"/>
  <c r="F12" i="1"/>
  <c r="F3" i="1"/>
  <c r="F2" i="1"/>
  <c r="E12" i="1"/>
  <c r="E3" i="1"/>
  <c r="E2" i="1"/>
  <c r="D12" i="1"/>
  <c r="D3" i="1"/>
  <c r="D2" i="1"/>
  <c r="C12" i="1"/>
  <c r="H7" i="8" l="1"/>
  <c r="C7" i="8"/>
  <c r="G7" i="7"/>
  <c r="D7" i="7"/>
  <c r="H13" i="7"/>
  <c r="G13" i="7"/>
  <c r="F13" i="7"/>
  <c r="E13" i="7"/>
  <c r="D13" i="7"/>
  <c r="C13" i="7"/>
  <c r="H4" i="7"/>
  <c r="G4" i="7"/>
  <c r="F4" i="7"/>
  <c r="E4" i="7"/>
  <c r="D4" i="7"/>
  <c r="C4" i="7"/>
  <c r="N7" i="6"/>
  <c r="N13" i="6"/>
  <c r="K7" i="6"/>
  <c r="J7" i="6"/>
  <c r="I7" i="6"/>
  <c r="H7" i="6"/>
  <c r="F7" i="6"/>
  <c r="E7" i="6"/>
  <c r="C7" i="6"/>
  <c r="M13" i="6"/>
  <c r="L13" i="6"/>
  <c r="K13" i="6"/>
  <c r="J13" i="6"/>
  <c r="I13" i="6"/>
  <c r="H13" i="6"/>
  <c r="G13" i="6"/>
  <c r="F13" i="6"/>
  <c r="E13" i="6"/>
  <c r="D13" i="6"/>
  <c r="C13" i="6"/>
  <c r="L4" i="6"/>
  <c r="J4" i="6"/>
  <c r="H4" i="6"/>
  <c r="H7" i="5"/>
  <c r="M13" i="5"/>
  <c r="L13" i="5"/>
  <c r="K13" i="5"/>
  <c r="J13" i="5"/>
  <c r="I13" i="5"/>
  <c r="H13" i="5"/>
  <c r="G13" i="5"/>
  <c r="F13" i="5"/>
  <c r="E13" i="5"/>
  <c r="D13" i="5"/>
  <c r="C13" i="5"/>
  <c r="M4" i="5"/>
  <c r="L4" i="5"/>
  <c r="K4" i="5"/>
  <c r="J4" i="5"/>
  <c r="I4" i="5"/>
  <c r="H4" i="5"/>
  <c r="G4" i="5"/>
  <c r="E4" i="5"/>
  <c r="D4" i="5"/>
  <c r="J13" i="3"/>
  <c r="J4" i="3"/>
  <c r="H7" i="3"/>
  <c r="F7" i="3"/>
  <c r="D7" i="3"/>
  <c r="I13" i="3"/>
  <c r="H13" i="3"/>
  <c r="G13" i="3"/>
  <c r="F13" i="3"/>
  <c r="E13" i="3"/>
  <c r="D13" i="3"/>
  <c r="C13" i="3"/>
  <c r="I4" i="3"/>
  <c r="H4" i="3"/>
  <c r="G4" i="3"/>
  <c r="F4" i="3"/>
  <c r="E4" i="3"/>
  <c r="D4" i="3"/>
  <c r="C4" i="3"/>
  <c r="N4" i="6" l="1"/>
  <c r="D4" i="8"/>
  <c r="F4" i="8"/>
  <c r="F17" i="8" s="1"/>
  <c r="H4" i="8"/>
  <c r="H8" i="8" s="1"/>
  <c r="D13" i="8"/>
  <c r="F13" i="8"/>
  <c r="H13" i="8"/>
  <c r="I13" i="8"/>
  <c r="I14" i="8" s="1"/>
  <c r="C4" i="8"/>
  <c r="C8" i="8" s="1"/>
  <c r="E4" i="8"/>
  <c r="E17" i="8" s="1"/>
  <c r="G4" i="8"/>
  <c r="G17" i="8" s="1"/>
  <c r="C13" i="8"/>
  <c r="E13" i="8"/>
  <c r="G13" i="8"/>
  <c r="I4" i="8"/>
  <c r="I17" i="8" s="1"/>
  <c r="C4" i="6"/>
  <c r="E4" i="6"/>
  <c r="E5" i="6" s="1"/>
  <c r="G4" i="6"/>
  <c r="I4" i="6"/>
  <c r="I17" i="6" s="1"/>
  <c r="K4" i="6"/>
  <c r="M4" i="6"/>
  <c r="M5" i="6" s="1"/>
  <c r="F4" i="5"/>
  <c r="D4" i="6"/>
  <c r="D6" i="6" s="1"/>
  <c r="D9" i="6" s="1"/>
  <c r="D15" i="6" s="1"/>
  <c r="D16" i="6" s="1"/>
  <c r="D19" i="6" s="1"/>
  <c r="F4" i="6"/>
  <c r="I5" i="8"/>
  <c r="C17" i="8"/>
  <c r="E8" i="8"/>
  <c r="E5" i="8"/>
  <c r="G8" i="8"/>
  <c r="G5" i="8"/>
  <c r="D17" i="8"/>
  <c r="D8" i="8"/>
  <c r="D6" i="8"/>
  <c r="D9" i="8" s="1"/>
  <c r="D5" i="8"/>
  <c r="F8" i="8"/>
  <c r="F5" i="8"/>
  <c r="H17" i="8"/>
  <c r="H6" i="8"/>
  <c r="H9" i="8" s="1"/>
  <c r="H15" i="8" s="1"/>
  <c r="H16" i="8" s="1"/>
  <c r="H19" i="8" s="1"/>
  <c r="H5" i="8"/>
  <c r="D15" i="8"/>
  <c r="D16" i="8" s="1"/>
  <c r="D19" i="8" s="1"/>
  <c r="C14" i="8"/>
  <c r="E14" i="8"/>
  <c r="G14" i="8"/>
  <c r="D14" i="8"/>
  <c r="F14" i="8"/>
  <c r="H14" i="8"/>
  <c r="C17" i="7"/>
  <c r="C8" i="7"/>
  <c r="C6" i="7"/>
  <c r="C9" i="7" s="1"/>
  <c r="C5" i="7"/>
  <c r="E17" i="7"/>
  <c r="E8" i="7"/>
  <c r="E6" i="7"/>
  <c r="E9" i="7" s="1"/>
  <c r="E15" i="7" s="1"/>
  <c r="E16" i="7" s="1"/>
  <c r="E19" i="7" s="1"/>
  <c r="E5" i="7"/>
  <c r="G17" i="7"/>
  <c r="G8" i="7"/>
  <c r="G6" i="7"/>
  <c r="G9" i="7" s="1"/>
  <c r="G15" i="7" s="1"/>
  <c r="G16" i="7" s="1"/>
  <c r="G19" i="7" s="1"/>
  <c r="G5" i="7"/>
  <c r="D17" i="7"/>
  <c r="D8" i="7"/>
  <c r="D6" i="7"/>
  <c r="D9" i="7" s="1"/>
  <c r="D15" i="7" s="1"/>
  <c r="D16" i="7" s="1"/>
  <c r="D19" i="7" s="1"/>
  <c r="D5" i="7"/>
  <c r="F17" i="7"/>
  <c r="F8" i="7"/>
  <c r="F6" i="7"/>
  <c r="F9" i="7" s="1"/>
  <c r="F5" i="7"/>
  <c r="H17" i="7"/>
  <c r="H8" i="7"/>
  <c r="H6" i="7"/>
  <c r="H9" i="7" s="1"/>
  <c r="H5" i="7"/>
  <c r="C15" i="7"/>
  <c r="C16" i="7" s="1"/>
  <c r="C19" i="7" s="1"/>
  <c r="F15" i="7"/>
  <c r="F16" i="7" s="1"/>
  <c r="F19" i="7" s="1"/>
  <c r="H15" i="7"/>
  <c r="H16" i="7" s="1"/>
  <c r="H19" i="7" s="1"/>
  <c r="C14" i="7"/>
  <c r="E14" i="7"/>
  <c r="G14" i="7"/>
  <c r="D14" i="7"/>
  <c r="F14" i="7"/>
  <c r="H14" i="7"/>
  <c r="N17" i="6"/>
  <c r="N5" i="6"/>
  <c r="N8" i="6"/>
  <c r="N6" i="6"/>
  <c r="N9" i="6" s="1"/>
  <c r="N14" i="6"/>
  <c r="D8" i="6"/>
  <c r="D17" i="6"/>
  <c r="F8" i="6"/>
  <c r="F6" i="6"/>
  <c r="F9" i="6" s="1"/>
  <c r="F15" i="6" s="1"/>
  <c r="F16" i="6" s="1"/>
  <c r="F19" i="6" s="1"/>
  <c r="F17" i="6"/>
  <c r="F5" i="6"/>
  <c r="H8" i="6"/>
  <c r="H6" i="6"/>
  <c r="H9" i="6" s="1"/>
  <c r="H15" i="6" s="1"/>
  <c r="H16" i="6" s="1"/>
  <c r="H19" i="6" s="1"/>
  <c r="H17" i="6"/>
  <c r="H5" i="6"/>
  <c r="J8" i="6"/>
  <c r="J6" i="6"/>
  <c r="J9" i="6" s="1"/>
  <c r="J15" i="6" s="1"/>
  <c r="J16" i="6" s="1"/>
  <c r="J19" i="6" s="1"/>
  <c r="J17" i="6"/>
  <c r="J5" i="6"/>
  <c r="L8" i="6"/>
  <c r="L6" i="6"/>
  <c r="L9" i="6" s="1"/>
  <c r="L17" i="6"/>
  <c r="L5" i="6"/>
  <c r="C17" i="6"/>
  <c r="C5" i="6"/>
  <c r="C8" i="6"/>
  <c r="C6" i="6"/>
  <c r="C9" i="6" s="1"/>
  <c r="E17" i="6"/>
  <c r="E8" i="6"/>
  <c r="E6" i="6"/>
  <c r="E9" i="6" s="1"/>
  <c r="G17" i="6"/>
  <c r="G5" i="6"/>
  <c r="G8" i="6"/>
  <c r="G6" i="6"/>
  <c r="G9" i="6" s="1"/>
  <c r="I5" i="6"/>
  <c r="I8" i="6"/>
  <c r="I6" i="6"/>
  <c r="I9" i="6" s="1"/>
  <c r="K17" i="6"/>
  <c r="K5" i="6"/>
  <c r="K8" i="6"/>
  <c r="K6" i="6"/>
  <c r="K9" i="6" s="1"/>
  <c r="K10" i="6" s="1"/>
  <c r="M17" i="6"/>
  <c r="M8" i="6"/>
  <c r="M6" i="6"/>
  <c r="M9" i="6" s="1"/>
  <c r="D14" i="6"/>
  <c r="F14" i="6"/>
  <c r="H14" i="6"/>
  <c r="J14" i="6"/>
  <c r="L14" i="6"/>
  <c r="C14" i="6"/>
  <c r="E14" i="6"/>
  <c r="G14" i="6"/>
  <c r="I14" i="6"/>
  <c r="K14" i="6"/>
  <c r="M14" i="6"/>
  <c r="L15" i="6"/>
  <c r="L16" i="6" s="1"/>
  <c r="L19" i="6" s="1"/>
  <c r="C17" i="5"/>
  <c r="C8" i="5"/>
  <c r="C6" i="5"/>
  <c r="C9" i="5" s="1"/>
  <c r="C5" i="5"/>
  <c r="E17" i="5"/>
  <c r="E8" i="5"/>
  <c r="E6" i="5"/>
  <c r="E9" i="5" s="1"/>
  <c r="E15" i="5" s="1"/>
  <c r="E16" i="5" s="1"/>
  <c r="E19" i="5" s="1"/>
  <c r="E5" i="5"/>
  <c r="G17" i="5"/>
  <c r="G8" i="5"/>
  <c r="G6" i="5"/>
  <c r="G9" i="5" s="1"/>
  <c r="G15" i="5" s="1"/>
  <c r="G16" i="5" s="1"/>
  <c r="G19" i="5" s="1"/>
  <c r="G5" i="5"/>
  <c r="I17" i="5"/>
  <c r="I8" i="5"/>
  <c r="I6" i="5"/>
  <c r="I9" i="5" s="1"/>
  <c r="I15" i="5" s="1"/>
  <c r="I16" i="5" s="1"/>
  <c r="I19" i="5" s="1"/>
  <c r="I5" i="5"/>
  <c r="K17" i="5"/>
  <c r="K8" i="5"/>
  <c r="K6" i="5"/>
  <c r="K9" i="5" s="1"/>
  <c r="K15" i="5" s="1"/>
  <c r="K16" i="5" s="1"/>
  <c r="K19" i="5" s="1"/>
  <c r="K5" i="5"/>
  <c r="M17" i="5"/>
  <c r="M8" i="5"/>
  <c r="M6" i="5"/>
  <c r="M9" i="5" s="1"/>
  <c r="M15" i="5" s="1"/>
  <c r="M16" i="5" s="1"/>
  <c r="M19" i="5" s="1"/>
  <c r="M5" i="5"/>
  <c r="D17" i="5"/>
  <c r="D8" i="5"/>
  <c r="D6" i="5"/>
  <c r="D9" i="5" s="1"/>
  <c r="D5" i="5"/>
  <c r="F17" i="5"/>
  <c r="F8" i="5"/>
  <c r="F6" i="5"/>
  <c r="F9" i="5" s="1"/>
  <c r="F5" i="5"/>
  <c r="H17" i="5"/>
  <c r="H8" i="5"/>
  <c r="H6" i="5"/>
  <c r="H9" i="5" s="1"/>
  <c r="H15" i="5" s="1"/>
  <c r="H16" i="5" s="1"/>
  <c r="H19" i="5" s="1"/>
  <c r="H5" i="5"/>
  <c r="J17" i="5"/>
  <c r="J8" i="5"/>
  <c r="J6" i="5"/>
  <c r="J9" i="5" s="1"/>
  <c r="J5" i="5"/>
  <c r="L17" i="5"/>
  <c r="L8" i="5"/>
  <c r="L6" i="5"/>
  <c r="L9" i="5" s="1"/>
  <c r="L15" i="5" s="1"/>
  <c r="L16" i="5" s="1"/>
  <c r="L19" i="5" s="1"/>
  <c r="L5" i="5"/>
  <c r="C15" i="5"/>
  <c r="C16" i="5" s="1"/>
  <c r="C19" i="5" s="1"/>
  <c r="D15" i="5"/>
  <c r="D16" i="5" s="1"/>
  <c r="D19" i="5" s="1"/>
  <c r="C14" i="5"/>
  <c r="E14" i="5"/>
  <c r="G14" i="5"/>
  <c r="I14" i="5"/>
  <c r="K14" i="5"/>
  <c r="M14" i="5"/>
  <c r="D14" i="5"/>
  <c r="F14" i="5"/>
  <c r="H14" i="5"/>
  <c r="J14" i="5"/>
  <c r="L14" i="5"/>
  <c r="J17" i="3"/>
  <c r="J5" i="3"/>
  <c r="J8" i="3"/>
  <c r="J6" i="3"/>
  <c r="J9" i="3" s="1"/>
  <c r="J14" i="3"/>
  <c r="D8" i="3"/>
  <c r="D6" i="3"/>
  <c r="D9" i="3" s="1"/>
  <c r="D15" i="3" s="1"/>
  <c r="D16" i="3" s="1"/>
  <c r="D19" i="3" s="1"/>
  <c r="D17" i="3"/>
  <c r="D5" i="3"/>
  <c r="F8" i="3"/>
  <c r="F6" i="3"/>
  <c r="F9" i="3" s="1"/>
  <c r="F15" i="3" s="1"/>
  <c r="F16" i="3" s="1"/>
  <c r="F19" i="3" s="1"/>
  <c r="F17" i="3"/>
  <c r="F5" i="3"/>
  <c r="H8" i="3"/>
  <c r="H6" i="3"/>
  <c r="H9" i="3" s="1"/>
  <c r="H15" i="3" s="1"/>
  <c r="H16" i="3" s="1"/>
  <c r="H19" i="3" s="1"/>
  <c r="H17" i="3"/>
  <c r="H5" i="3"/>
  <c r="C17" i="3"/>
  <c r="C5" i="3"/>
  <c r="C8" i="3"/>
  <c r="C6" i="3"/>
  <c r="C9" i="3" s="1"/>
  <c r="E17" i="3"/>
  <c r="E5" i="3"/>
  <c r="E8" i="3"/>
  <c r="E6" i="3"/>
  <c r="E9" i="3" s="1"/>
  <c r="G17" i="3"/>
  <c r="G5" i="3"/>
  <c r="G6" i="3"/>
  <c r="G9" i="3" s="1"/>
  <c r="I17" i="3"/>
  <c r="I5" i="3"/>
  <c r="I8" i="3"/>
  <c r="I6" i="3"/>
  <c r="I9" i="3" s="1"/>
  <c r="D14" i="3"/>
  <c r="F14" i="3"/>
  <c r="H14" i="3"/>
  <c r="C14" i="3"/>
  <c r="E14" i="3"/>
  <c r="G14" i="3"/>
  <c r="I14" i="3"/>
  <c r="I6" i="8" l="1"/>
  <c r="I9" i="8" s="1"/>
  <c r="I10" i="8" s="1"/>
  <c r="G6" i="8"/>
  <c r="G9" i="8" s="1"/>
  <c r="G15" i="8" s="1"/>
  <c r="G16" i="8" s="1"/>
  <c r="G19" i="8" s="1"/>
  <c r="F6" i="8"/>
  <c r="F9" i="8" s="1"/>
  <c r="F15" i="8" s="1"/>
  <c r="F16" i="8" s="1"/>
  <c r="F19" i="8" s="1"/>
  <c r="E6" i="8"/>
  <c r="E9" i="8" s="1"/>
  <c r="E15" i="8" s="1"/>
  <c r="E16" i="8" s="1"/>
  <c r="E19" i="8" s="1"/>
  <c r="C6" i="8"/>
  <c r="C9" i="8" s="1"/>
  <c r="C15" i="8" s="1"/>
  <c r="C16" i="8" s="1"/>
  <c r="C19" i="8" s="1"/>
  <c r="C5" i="8"/>
  <c r="D5" i="6"/>
  <c r="I8" i="8"/>
  <c r="I18" i="8"/>
  <c r="H18" i="8"/>
  <c r="H10" i="8"/>
  <c r="H20" i="8"/>
  <c r="H21" i="8" s="1"/>
  <c r="D18" i="8"/>
  <c r="D10" i="8"/>
  <c r="D20" i="8"/>
  <c r="D21" i="8" s="1"/>
  <c r="G10" i="8"/>
  <c r="E18" i="8"/>
  <c r="E20" i="8" s="1"/>
  <c r="E21" i="8" s="1"/>
  <c r="C18" i="8"/>
  <c r="H18" i="7"/>
  <c r="H10" i="7"/>
  <c r="H20" i="7"/>
  <c r="H21" i="7" s="1"/>
  <c r="F18" i="7"/>
  <c r="F10" i="7"/>
  <c r="F20" i="7"/>
  <c r="F21" i="7" s="1"/>
  <c r="D18" i="7"/>
  <c r="D10" i="7"/>
  <c r="D20" i="7"/>
  <c r="D21" i="7" s="1"/>
  <c r="G18" i="7"/>
  <c r="G10" i="7"/>
  <c r="G20" i="7"/>
  <c r="G21" i="7" s="1"/>
  <c r="E18" i="7"/>
  <c r="E10" i="7"/>
  <c r="E20" i="7"/>
  <c r="E21" i="7" s="1"/>
  <c r="C18" i="7"/>
  <c r="C10" i="7"/>
  <c r="C20" i="7"/>
  <c r="C21" i="7" s="1"/>
  <c r="N18" i="6"/>
  <c r="N10" i="6"/>
  <c r="N15" i="6"/>
  <c r="N16" i="6" s="1"/>
  <c r="N19" i="6" s="1"/>
  <c r="M18" i="6"/>
  <c r="M10" i="6"/>
  <c r="K18" i="6"/>
  <c r="I18" i="6"/>
  <c r="I10" i="6"/>
  <c r="G18" i="6"/>
  <c r="G10" i="6"/>
  <c r="E18" i="6"/>
  <c r="E10" i="6"/>
  <c r="C18" i="6"/>
  <c r="C10" i="6"/>
  <c r="M15" i="6"/>
  <c r="M16" i="6" s="1"/>
  <c r="M19" i="6" s="1"/>
  <c r="I15" i="6"/>
  <c r="I16" i="6" s="1"/>
  <c r="I19" i="6" s="1"/>
  <c r="I20" i="6" s="1"/>
  <c r="I21" i="6" s="1"/>
  <c r="E15" i="6"/>
  <c r="E16" i="6" s="1"/>
  <c r="E19" i="6" s="1"/>
  <c r="L18" i="6"/>
  <c r="L10" i="6"/>
  <c r="J18" i="6"/>
  <c r="J10" i="6"/>
  <c r="H18" i="6"/>
  <c r="H20" i="6" s="1"/>
  <c r="H21" i="6" s="1"/>
  <c r="H10" i="6"/>
  <c r="F18" i="6"/>
  <c r="F20" i="6" s="1"/>
  <c r="F21" i="6" s="1"/>
  <c r="F10" i="6"/>
  <c r="D18" i="6"/>
  <c r="D10" i="6"/>
  <c r="K15" i="6"/>
  <c r="K16" i="6" s="1"/>
  <c r="K19" i="6" s="1"/>
  <c r="K20" i="6" s="1"/>
  <c r="K21" i="6" s="1"/>
  <c r="G15" i="6"/>
  <c r="G16" i="6" s="1"/>
  <c r="G19" i="6" s="1"/>
  <c r="C15" i="6"/>
  <c r="C16" i="6" s="1"/>
  <c r="C19" i="6" s="1"/>
  <c r="C20" i="6" s="1"/>
  <c r="C21" i="6" s="1"/>
  <c r="L20" i="6"/>
  <c r="L21" i="6" s="1"/>
  <c r="J20" i="6"/>
  <c r="J21" i="6" s="1"/>
  <c r="D20" i="6"/>
  <c r="D21" i="6" s="1"/>
  <c r="L18" i="5"/>
  <c r="L10" i="5"/>
  <c r="L20" i="5"/>
  <c r="L21" i="5" s="1"/>
  <c r="J18" i="5"/>
  <c r="J10" i="5"/>
  <c r="H18" i="5"/>
  <c r="H10" i="5"/>
  <c r="H20" i="5"/>
  <c r="H21" i="5" s="1"/>
  <c r="F18" i="5"/>
  <c r="F10" i="5"/>
  <c r="D18" i="5"/>
  <c r="D10" i="5"/>
  <c r="D20" i="5"/>
  <c r="D21" i="5" s="1"/>
  <c r="J15" i="5"/>
  <c r="J16" i="5" s="1"/>
  <c r="J19" i="5" s="1"/>
  <c r="J20" i="5" s="1"/>
  <c r="J21" i="5" s="1"/>
  <c r="F15" i="5"/>
  <c r="F16" i="5" s="1"/>
  <c r="F19" i="5" s="1"/>
  <c r="F20" i="5" s="1"/>
  <c r="F21" i="5" s="1"/>
  <c r="M18" i="5"/>
  <c r="M10" i="5"/>
  <c r="M20" i="5"/>
  <c r="M21" i="5" s="1"/>
  <c r="K18" i="5"/>
  <c r="K10" i="5"/>
  <c r="K20" i="5"/>
  <c r="K21" i="5" s="1"/>
  <c r="I18" i="5"/>
  <c r="I20" i="5" s="1"/>
  <c r="I21" i="5" s="1"/>
  <c r="I10" i="5"/>
  <c r="G18" i="5"/>
  <c r="G10" i="5"/>
  <c r="G20" i="5"/>
  <c r="G21" i="5" s="1"/>
  <c r="E18" i="5"/>
  <c r="E10" i="5"/>
  <c r="E20" i="5"/>
  <c r="E21" i="5" s="1"/>
  <c r="C18" i="5"/>
  <c r="C10" i="5"/>
  <c r="C20" i="5"/>
  <c r="C21" i="5" s="1"/>
  <c r="J18" i="3"/>
  <c r="J10" i="3"/>
  <c r="J15" i="3"/>
  <c r="J16" i="3" s="1"/>
  <c r="J19" i="3" s="1"/>
  <c r="I18" i="3"/>
  <c r="I10" i="3"/>
  <c r="G18" i="3"/>
  <c r="G10" i="3"/>
  <c r="E18" i="3"/>
  <c r="E10" i="3"/>
  <c r="C18" i="3"/>
  <c r="C10" i="3"/>
  <c r="I15" i="3"/>
  <c r="I16" i="3" s="1"/>
  <c r="I19" i="3" s="1"/>
  <c r="I20" i="3" s="1"/>
  <c r="I21" i="3" s="1"/>
  <c r="E15" i="3"/>
  <c r="E16" i="3" s="1"/>
  <c r="E19" i="3" s="1"/>
  <c r="E20" i="3" s="1"/>
  <c r="E21" i="3" s="1"/>
  <c r="H18" i="3"/>
  <c r="H10" i="3"/>
  <c r="F18" i="3"/>
  <c r="F20" i="3" s="1"/>
  <c r="F21" i="3" s="1"/>
  <c r="F10" i="3"/>
  <c r="D18" i="3"/>
  <c r="D10" i="3"/>
  <c r="G15" i="3"/>
  <c r="G16" i="3" s="1"/>
  <c r="G19" i="3" s="1"/>
  <c r="G20" i="3" s="1"/>
  <c r="G21" i="3" s="1"/>
  <c r="C15" i="3"/>
  <c r="C16" i="3" s="1"/>
  <c r="C19" i="3" s="1"/>
  <c r="C20" i="3" s="1"/>
  <c r="C21" i="3" s="1"/>
  <c r="H20" i="3"/>
  <c r="H21" i="3" s="1"/>
  <c r="D20" i="3"/>
  <c r="D21" i="3" s="1"/>
  <c r="I15" i="8" l="1"/>
  <c r="I16" i="8" s="1"/>
  <c r="I19" i="8" s="1"/>
  <c r="I20" i="8" s="1"/>
  <c r="I21" i="8" s="1"/>
  <c r="G18" i="8"/>
  <c r="G20" i="8" s="1"/>
  <c r="G21" i="8" s="1"/>
  <c r="F10" i="8"/>
  <c r="F18" i="8"/>
  <c r="F20" i="8" s="1"/>
  <c r="F21" i="8" s="1"/>
  <c r="E10" i="8"/>
  <c r="C20" i="8"/>
  <c r="C21" i="8" s="1"/>
  <c r="C10" i="8"/>
  <c r="E20" i="6"/>
  <c r="E21" i="6" s="1"/>
  <c r="M20" i="6"/>
  <c r="M21" i="6" s="1"/>
  <c r="G20" i="6"/>
  <c r="G21" i="6" s="1"/>
  <c r="N20" i="6"/>
  <c r="N21" i="6" s="1"/>
  <c r="J20" i="3"/>
  <c r="J21" i="3" s="1"/>
  <c r="I4" i="2"/>
  <c r="H4" i="2"/>
  <c r="G4" i="2"/>
  <c r="G5" i="2" s="1"/>
  <c r="H7" i="2"/>
  <c r="G13" i="2"/>
  <c r="I13" i="2"/>
  <c r="I14" i="2" s="1"/>
  <c r="F13" i="2"/>
  <c r="E13" i="2"/>
  <c r="D13" i="2"/>
  <c r="C13" i="2"/>
  <c r="F4" i="2"/>
  <c r="E4" i="2"/>
  <c r="D4" i="2"/>
  <c r="C4" i="2"/>
  <c r="F7" i="1"/>
  <c r="F13" i="1"/>
  <c r="E13" i="1"/>
  <c r="D13" i="1"/>
  <c r="C13" i="1"/>
  <c r="F4" i="1"/>
  <c r="E4" i="1"/>
  <c r="D4" i="1"/>
  <c r="C4" i="1"/>
  <c r="G14" i="2" l="1"/>
  <c r="G17" i="2"/>
  <c r="H13" i="2"/>
  <c r="G6" i="2"/>
  <c r="I5" i="2"/>
  <c r="I6" i="2"/>
  <c r="I9" i="2" s="1"/>
  <c r="I10" i="2" s="1"/>
  <c r="I17" i="2"/>
  <c r="I8" i="2"/>
  <c r="H14" i="2"/>
  <c r="G9" i="2"/>
  <c r="G18" i="2" s="1"/>
  <c r="G8" i="2"/>
  <c r="I18" i="2"/>
  <c r="H5" i="2"/>
  <c r="H17" i="2"/>
  <c r="H6" i="2"/>
  <c r="H9" i="2" s="1"/>
  <c r="H8" i="2"/>
  <c r="C17" i="2"/>
  <c r="C8" i="2"/>
  <c r="C6" i="2"/>
  <c r="C9" i="2" s="1"/>
  <c r="C15" i="2" s="1"/>
  <c r="C16" i="2" s="1"/>
  <c r="C19" i="2" s="1"/>
  <c r="C5" i="2"/>
  <c r="E17" i="2"/>
  <c r="E8" i="2"/>
  <c r="E6" i="2"/>
  <c r="E9" i="2" s="1"/>
  <c r="E15" i="2" s="1"/>
  <c r="E16" i="2" s="1"/>
  <c r="E19" i="2" s="1"/>
  <c r="E5" i="2"/>
  <c r="D17" i="2"/>
  <c r="D8" i="2"/>
  <c r="D6" i="2"/>
  <c r="D9" i="2" s="1"/>
  <c r="D15" i="2" s="1"/>
  <c r="D16" i="2" s="1"/>
  <c r="D19" i="2" s="1"/>
  <c r="D5" i="2"/>
  <c r="F17" i="2"/>
  <c r="F8" i="2"/>
  <c r="F6" i="2"/>
  <c r="F9" i="2" s="1"/>
  <c r="F5" i="2"/>
  <c r="C14" i="2"/>
  <c r="E14" i="2"/>
  <c r="D14" i="2"/>
  <c r="F14" i="2"/>
  <c r="C17" i="1"/>
  <c r="C8" i="1"/>
  <c r="C6" i="1"/>
  <c r="C9" i="1" s="1"/>
  <c r="C15" i="1" s="1"/>
  <c r="C16" i="1" s="1"/>
  <c r="C19" i="1" s="1"/>
  <c r="C5" i="1"/>
  <c r="E17" i="1"/>
  <c r="E8" i="1"/>
  <c r="E6" i="1"/>
  <c r="E9" i="1" s="1"/>
  <c r="E15" i="1" s="1"/>
  <c r="E16" i="1" s="1"/>
  <c r="E19" i="1" s="1"/>
  <c r="E5" i="1"/>
  <c r="D17" i="1"/>
  <c r="D8" i="1"/>
  <c r="D6" i="1"/>
  <c r="D9" i="1" s="1"/>
  <c r="D15" i="1" s="1"/>
  <c r="D16" i="1" s="1"/>
  <c r="D19" i="1" s="1"/>
  <c r="D5" i="1"/>
  <c r="F17" i="1"/>
  <c r="F8" i="1"/>
  <c r="F6" i="1"/>
  <c r="F9" i="1" s="1"/>
  <c r="F15" i="1" s="1"/>
  <c r="F16" i="1" s="1"/>
  <c r="F19" i="1" s="1"/>
  <c r="F5" i="1"/>
  <c r="C14" i="1"/>
  <c r="E14" i="1"/>
  <c r="D14" i="1"/>
  <c r="F14" i="1"/>
  <c r="I15" i="2" l="1"/>
  <c r="I16" i="2" s="1"/>
  <c r="I19" i="2" s="1"/>
  <c r="I20" i="2" s="1"/>
  <c r="I21" i="2" s="1"/>
  <c r="G10" i="2"/>
  <c r="G15" i="2"/>
  <c r="G16" i="2" s="1"/>
  <c r="G19" i="2" s="1"/>
  <c r="G20" i="2" s="1"/>
  <c r="G21" i="2" s="1"/>
  <c r="H15" i="2"/>
  <c r="H16" i="2" s="1"/>
  <c r="H19" i="2" s="1"/>
  <c r="H10" i="2"/>
  <c r="H18" i="2"/>
  <c r="F18" i="2"/>
  <c r="F10" i="2"/>
  <c r="D18" i="2"/>
  <c r="D10" i="2"/>
  <c r="F15" i="2"/>
  <c r="F16" i="2" s="1"/>
  <c r="F19" i="2" s="1"/>
  <c r="F20" i="2" s="1"/>
  <c r="F21" i="2" s="1"/>
  <c r="D20" i="2"/>
  <c r="D21" i="2" s="1"/>
  <c r="E18" i="2"/>
  <c r="E10" i="2"/>
  <c r="E20" i="2"/>
  <c r="E21" i="2" s="1"/>
  <c r="C18" i="2"/>
  <c r="C10" i="2"/>
  <c r="C20" i="2"/>
  <c r="C21" i="2" s="1"/>
  <c r="F18" i="1"/>
  <c r="F20" i="1" s="1"/>
  <c r="F21" i="1" s="1"/>
  <c r="F10" i="1"/>
  <c r="D18" i="1"/>
  <c r="D20" i="1" s="1"/>
  <c r="D21" i="1" s="1"/>
  <c r="D10" i="1"/>
  <c r="E18" i="1"/>
  <c r="E10" i="1"/>
  <c r="E20" i="1"/>
  <c r="E21" i="1" s="1"/>
  <c r="C18" i="1"/>
  <c r="C10" i="1"/>
  <c r="C20" i="1"/>
  <c r="C21" i="1" s="1"/>
  <c r="H20" i="2" l="1"/>
  <c r="H21" i="2" s="1"/>
</calcChain>
</file>

<file path=xl/sharedStrings.xml><?xml version="1.0" encoding="utf-8"?>
<sst xmlns="http://schemas.openxmlformats.org/spreadsheetml/2006/main" count="671" uniqueCount="129">
  <si>
    <t>ลำดับ</t>
  </si>
  <si>
    <t>รายการวิเคราะห์</t>
  </si>
  <si>
    <t>[1]</t>
  </si>
  <si>
    <t>รวมรายได้ (ไม่รวมรายได้อื่น(ระบบบัญชีอัตโนมัติ) และรายได้งบลงทุน)</t>
  </si>
  <si>
    <t xml:space="preserve">  ลบ = Risk 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</si>
  <si>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</si>
  <si>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</si>
  <si>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t>[2]</t>
  </si>
  <si>
    <t>รวมค่าใช้จ่าย (ไม่รวมค่าเสื่อมราคาและค่าตัดจำหน่ายและค่าใช้จ่ายอื่น (ระบบบัญชีบันทึกอัตโนมัติ)</t>
  </si>
  <si>
    <t xml:space="preserve">&gt;20%  Risk </t>
  </si>
  <si>
    <t>[3]</t>
  </si>
  <si>
    <t xml:space="preserve"> EBITDA (รวมรายได้ (ไม่รวมรายได้งบลงทุน) - รวมค่าใช้จ่าย (ไม่รวมค่าเสื่อมราคาและค่าตัดจำหน่าย)</t>
  </si>
  <si>
    <t xml:space="preserve">  Normal </t>
  </si>
  <si>
    <t xml:space="preserve"> Normal</t>
  </si>
  <si>
    <t>Normal</t>
  </si>
  <si>
    <t xml:space="preserve"> ไม่ต้องปรับ</t>
  </si>
  <si>
    <t>[4]</t>
  </si>
  <si>
    <t>สรุปแผนประมาณการ</t>
  </si>
  <si>
    <t>Risk</t>
  </si>
  <si>
    <t xml:space="preserve">ทบทวนการลงทุนอีกครั้ง </t>
  </si>
  <si>
    <t>[5] = [3] x 20%</t>
  </si>
  <si>
    <t>วงเงินที่ลงทุนได้(ร้อยละ 20%ของ EBITDA)</t>
  </si>
  <si>
    <r>
      <t xml:space="preserve"> </t>
    </r>
    <r>
      <rPr>
        <sz val="14"/>
        <color rgb="FFFF0000"/>
        <rFont val="TH SarabunPSK"/>
        <family val="2"/>
      </rPr>
      <t>Risk</t>
    </r>
  </si>
  <si>
    <t>ทบทวนการลงทุนอีกครั้ง ทำFeasibility study</t>
  </si>
  <si>
    <t>[6]</t>
  </si>
  <si>
    <t>จัดซื้อ/จัดหาด้วยเงินบำรุงของ รพ. ปี 2563</t>
  </si>
  <si>
    <t xml:space="preserve"> ปรับลดการลงทุนให้ &lt; 20% EBITDA เพื่อเงินเหลือจาก EBITDA – ลงทุนจะไปเพิ่ม NWC  ทำ Feasibility study</t>
  </si>
  <si>
    <t>[7]=[6]/[3] x 100</t>
  </si>
  <si>
    <t>สัดส่วนการลงทุน  ต่อ EBITDA</t>
  </si>
  <si>
    <r>
      <t xml:space="preserve"> </t>
    </r>
    <r>
      <rPr>
        <sz val="14"/>
        <color rgb="FF000000"/>
        <rFont val="TH SarabunPSK"/>
        <family val="2"/>
      </rPr>
      <t>Normal</t>
    </r>
  </si>
  <si>
    <t>ปรับ EBITDA ให้เป็น +</t>
  </si>
  <si>
    <t>[8] = [5] - [6]</t>
  </si>
  <si>
    <t>วงเงินงบลงทุน (เงินบำรุง)  เปรียบเทียบกับ EBITDA &gt;20%</t>
  </si>
  <si>
    <t xml:space="preserve"> Risk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</si>
  <si>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</si>
  <si>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>การวิเคราะห์การลงทุน (เงินบำรุง)  เปรียบเทียบกับ EBITDA &gt;20%</t>
  </si>
  <si>
    <t>[9]</t>
  </si>
  <si>
    <t>ทุนสำรองสุทธิ (Networking Capital) ณ 30 กันยายน 2562</t>
  </si>
  <si>
    <t>ปรับ EBITDA ให้เป็น + และ ทบทวนการลงทุนอีกครั้งควร ลงทุนให้ &lt; 20% EBITDAทำ Feasibility study</t>
  </si>
  <si>
    <t>[10]</t>
  </si>
  <si>
    <t>เงินบำรุงคงเหลือ (หักหนี้สินและภาระผูกพัน) ณ  30 กันยายน 2562</t>
  </si>
  <si>
    <t xml:space="preserve">ปรับ EBITDA ให้เป็น + และ ชะลอการลงทุน </t>
  </si>
  <si>
    <t>[11]=[2]/12</t>
  </si>
  <si>
    <t>รายจ่ายเฉลี่ยต่อเดือน</t>
  </si>
  <si>
    <t>[12] =[9]/[11]</t>
  </si>
  <si>
    <t>อัตราส่วนทุนสำรองสุทธิ (NWC) ต่อ รายจ่ายเฉลี่ยต่อเดือน</t>
  </si>
  <si>
    <t>[13] =[9] - [8]</t>
  </si>
  <si>
    <t>ทุนสำรองสุทธิ (NWC) คงเหลือหลังหักการลงทุน &gt;20% EBITDA</t>
  </si>
  <si>
    <t>[14]=[13]/[11]</t>
  </si>
  <si>
    <t>อัตราทุนสำรองสุทธิ (NWC) คงเหลือ หลังหักเงินลงทุน &gt;20% EBITDAต่อรายจ่ายเฉลี่ยต่อเดือน</t>
  </si>
  <si>
    <t>[15] = [3] ค่าบวก Normal, ค่าลบ Risk</t>
  </si>
  <si>
    <t>Risk จาก EBITDA</t>
  </si>
  <si>
    <t>[16] =[8] ค่าบวก Normal, ค่าลบ Risk</t>
  </si>
  <si>
    <t>Risk จาก Investment &gt;20% EBITDA</t>
  </si>
  <si>
    <t>[17] = [14] &gt;1 "Normal" &lt;1"Risk)</t>
  </si>
  <si>
    <t>Risk จาก อัตราส่วนทุนสำรองสุทธิ (NWC) ต่อ รายจ่ายเฉลี่ยต่อเดือน</t>
  </si>
  <si>
    <t>PlanFin แบบ</t>
  </si>
  <si>
    <t xml:space="preserve"> การปรับ PlanFin</t>
  </si>
  <si>
    <t>นครนายก</t>
  </si>
  <si>
    <t>องครักษ์</t>
  </si>
  <si>
    <t>ปากพลี</t>
  </si>
  <si>
    <t>บ้านนา</t>
  </si>
  <si>
    <t>พระนั่งเกล้า</t>
  </si>
  <si>
    <t>บางกรวย</t>
  </si>
  <si>
    <t>บางบัวทอง</t>
  </si>
  <si>
    <t>บางใหญ่</t>
  </si>
  <si>
    <t>ปากเกร็ด</t>
  </si>
  <si>
    <t>ไทรน้อย</t>
  </si>
  <si>
    <t>บางบัวทอง2</t>
  </si>
  <si>
    <t>ปทุมธานี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</si>
  <si>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</si>
  <si>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</si>
  <si>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</si>
  <si>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</si>
  <si>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</si>
  <si>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</si>
  <si>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</si>
  <si>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พระนครศรีอยุธยา</t>
  </si>
  <si>
    <t>เสนา</t>
  </si>
  <si>
    <t>ท่าเรือ</t>
  </si>
  <si>
    <t>สมเด็จพระสังฆราช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</si>
  <si>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</si>
  <si>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</si>
  <si>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</si>
  <si>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</si>
  <si>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</si>
  <si>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</si>
  <si>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</si>
  <si>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</si>
  <si>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</si>
  <si>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</si>
  <si>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</si>
  <si>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</si>
  <si>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พระนารายณ์มหาราช</t>
  </si>
  <si>
    <t>บ้านหมี่</t>
  </si>
  <si>
    <t>พัฒนานิคม</t>
  </si>
  <si>
    <t>โคกสำโรง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</si>
  <si>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</si>
  <si>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</si>
  <si>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</si>
  <si>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</si>
  <si>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</si>
  <si>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</si>
  <si>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</si>
  <si>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สระบุรี</t>
  </si>
  <si>
    <t>พระพุทธบาท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</si>
  <si>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</si>
  <si>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</si>
  <si>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</si>
  <si>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</si>
  <si>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</si>
  <si>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</si>
  <si>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</si>
  <si>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</si>
  <si>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</si>
  <si>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</t>
  </si>
  <si>
    <t>สิงห์บุรี</t>
  </si>
  <si>
    <t>อินทร์บุรี</t>
  </si>
  <si>
    <t>บางระจัน</t>
  </si>
  <si>
    <t>ค่ายบางระจัน</t>
  </si>
  <si>
    <t>พรหมบุรี</t>
  </si>
  <si>
    <t>ท่าช้าง</t>
  </si>
  <si>
    <t>อ่างทอง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</si>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</sst>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0" fontId="4" fillId="0" borderId="1" xfId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 readingOrder="1"/>
    </xf>
    <xf numFmtId="0" fontId="8" fillId="3" borderId="2" xfId="0" applyFont="1" applyFill="1" applyBorder="1" applyAlignment="1">
      <alignment horizontal="left" vertical="top" wrapText="1" readingOrder="1"/>
    </xf>
    <xf numFmtId="0" fontId="5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 readingOrder="1"/>
    </xf>
    <xf numFmtId="40" fontId="4" fillId="0" borderId="1" xfId="0" applyNumberFormat="1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center" vertical="top" wrapText="1" readingOrder="1"/>
    </xf>
    <xf numFmtId="0" fontId="9" fillId="4" borderId="4" xfId="0" applyFont="1" applyFill="1" applyBorder="1" applyAlignment="1">
      <alignment horizontal="left" vertical="top" readingOrder="1"/>
    </xf>
    <xf numFmtId="40" fontId="3" fillId="0" borderId="1" xfId="0" applyNumberFormat="1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 readingOrder="1"/>
    </xf>
    <xf numFmtId="0" fontId="10" fillId="5" borderId="5" xfId="0" applyFont="1" applyFill="1" applyBorder="1" applyAlignment="1">
      <alignment horizontal="center" vertical="top" wrapText="1" readingOrder="1"/>
    </xf>
    <xf numFmtId="0" fontId="9" fillId="5" borderId="5" xfId="0" applyFont="1" applyFill="1" applyBorder="1" applyAlignment="1">
      <alignment horizontal="left" vertical="top" readingOrder="1"/>
    </xf>
    <xf numFmtId="0" fontId="9" fillId="4" borderId="6" xfId="0" applyFont="1" applyFill="1" applyBorder="1" applyAlignment="1">
      <alignment horizontal="center" vertical="top" wrapText="1" readingOrder="1"/>
    </xf>
    <xf numFmtId="0" fontId="9" fillId="4" borderId="6" xfId="0" applyFont="1" applyFill="1" applyBorder="1" applyAlignment="1">
      <alignment horizontal="left" vertical="top" readingOrder="1"/>
    </xf>
    <xf numFmtId="0" fontId="9" fillId="5" borderId="6" xfId="0" applyFont="1" applyFill="1" applyBorder="1" applyAlignment="1">
      <alignment horizontal="center" vertical="top" wrapText="1" readingOrder="1"/>
    </xf>
    <xf numFmtId="0" fontId="10" fillId="5" borderId="6" xfId="0" applyFont="1" applyFill="1" applyBorder="1" applyAlignment="1">
      <alignment horizontal="center" vertical="top" wrapText="1" readingOrder="1"/>
    </xf>
    <xf numFmtId="0" fontId="9" fillId="5" borderId="6" xfId="0" applyFont="1" applyFill="1" applyBorder="1" applyAlignment="1">
      <alignment horizontal="left" vertical="top" readingOrder="1"/>
    </xf>
    <xf numFmtId="0" fontId="9" fillId="4" borderId="5" xfId="0" applyFont="1" applyFill="1" applyBorder="1" applyAlignment="1">
      <alignment horizontal="center" vertical="top" wrapText="1" readingOrder="1"/>
    </xf>
    <xf numFmtId="0" fontId="10" fillId="4" borderId="5" xfId="0" applyFont="1" applyFill="1" applyBorder="1" applyAlignment="1">
      <alignment horizontal="center" vertical="top" wrapText="1" readingOrder="1"/>
    </xf>
    <xf numFmtId="0" fontId="9" fillId="4" borderId="5" xfId="0" applyFont="1" applyFill="1" applyBorder="1" applyAlignment="1">
      <alignment horizontal="left" vertical="top" readingOrder="1"/>
    </xf>
    <xf numFmtId="40" fontId="11" fillId="0" borderId="1" xfId="0" applyNumberFormat="1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 readingOrder="1"/>
    </xf>
    <xf numFmtId="0" fontId="6" fillId="6" borderId="1" xfId="0" applyFont="1" applyFill="1" applyBorder="1" applyAlignment="1">
      <alignment horizontal="center" vertical="top" wrapText="1"/>
    </xf>
    <xf numFmtId="40" fontId="4" fillId="6" borderId="1" xfId="0" applyNumberFormat="1" applyFont="1" applyFill="1" applyBorder="1" applyAlignment="1">
      <alignment vertical="top" wrapText="1"/>
    </xf>
    <xf numFmtId="40" fontId="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38" fontId="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 readingOrder="1"/>
    </xf>
    <xf numFmtId="40" fontId="6" fillId="0" borderId="1" xfId="0" applyNumberFormat="1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40" fontId="4" fillId="0" borderId="0" xfId="0" applyNumberFormat="1" applyFont="1" applyAlignment="1">
      <alignment vertical="top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0" fontId="16" fillId="0" borderId="1" xfId="0" applyNumberFormat="1" applyFont="1" applyFill="1" applyBorder="1" applyAlignment="1">
      <alignment vertical="top" wrapText="1"/>
    </xf>
    <xf numFmtId="0" fontId="3" fillId="7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 readingOrder="1"/>
    </xf>
    <xf numFmtId="0" fontId="7" fillId="3" borderId="3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2" xfId="2"/>
    <cellStyle name="ปกติ 2" xfId="3"/>
    <cellStyle name="ปกติ_Sheet1" xfId="4"/>
  </cellStyles>
  <dxfs count="24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WorkSheetPlanfin2563%20&#3619;&#3629;&#3610;%202%20V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ID"/>
      <sheetName val="Planfin2563"/>
      <sheetName val="2562"/>
      <sheetName val="Revenue"/>
      <sheetName val="Expense"/>
      <sheetName val="การวิเคราะห์แผน 8 แบบ"/>
      <sheetName val="Mapping"/>
      <sheetName val="งบทดลอง รพ."/>
      <sheetName val="1.WS-Re-Exp"/>
      <sheetName val="2.WS-ยา วชภฯ"/>
      <sheetName val="3.WS-วัสดุอื่น"/>
      <sheetName val="4.WS-แผนเจ้าหนี้การค้า"/>
      <sheetName val="5.WS-แผนบริหารจัดการลูกหนี้"/>
      <sheetName val="6.WS-แผนลงทุน"/>
      <sheetName val="7.WS-แผนสนับสนุน รพ.สต."/>
      <sheetName val="2559"/>
      <sheetName val="2560"/>
      <sheetName val="2561"/>
      <sheetName val="PlanFin Analysis"/>
    </sheetNames>
    <sheetDataSet>
      <sheetData sheetId="0"/>
      <sheetData sheetId="1"/>
      <sheetData sheetId="2">
        <row r="91">
          <cell r="C91">
            <v>0</v>
          </cell>
          <cell r="D91"/>
          <cell r="E91"/>
          <cell r="F91"/>
          <cell r="G91"/>
          <cell r="H91"/>
          <cell r="I9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1"/>
  <sheetViews>
    <sheetView zoomScaleNormal="100" workbookViewId="0">
      <pane xSplit="2" topLeftCell="F1" activePane="topRight" state="frozen"/>
      <selection pane="topRight" activeCell="I13" sqref="I13"/>
    </sheetView>
  </sheetViews>
  <sheetFormatPr defaultColWidth="9.125" defaultRowHeight="24" x14ac:dyDescent="0.2"/>
  <cols>
    <col min="1" max="1" width="19.25" style="39" customWidth="1"/>
    <col min="2" max="2" width="65.75" style="40" customWidth="1"/>
    <col min="3" max="3" width="18.125" style="41" customWidth="1"/>
    <col min="4" max="6" width="16.875" style="3" customWidth="1"/>
    <col min="7" max="7" width="18" style="4" customWidth="1"/>
    <col min="8" max="8" width="17.75" style="4" bestFit="1" customWidth="1"/>
    <col min="9" max="9" width="19.375" style="4" customWidth="1"/>
    <col min="10" max="10" width="25.625" style="4" customWidth="1"/>
    <col min="11" max="11" width="15.75" style="4" bestFit="1" customWidth="1"/>
    <col min="12" max="12" width="14.875" style="4" customWidth="1"/>
    <col min="13" max="13" width="17.75" style="4" bestFit="1" customWidth="1"/>
    <col min="14" max="14" width="22.75" style="4" customWidth="1"/>
    <col min="15" max="15" width="20.25" style="4" customWidth="1"/>
    <col min="16" max="16" width="19.875" style="4" customWidth="1"/>
    <col min="17" max="17" width="23" style="4" customWidth="1"/>
    <col min="18" max="18" width="13.625" style="4" customWidth="1"/>
    <col min="19" max="19" width="52" style="4" customWidth="1"/>
    <col min="20" max="23" width="9.125" style="4"/>
    <col min="24" max="24" width="6.375" style="5" hidden="1" customWidth="1"/>
    <col min="25" max="25" width="11.875" style="5" hidden="1" customWidth="1"/>
    <col min="26" max="26" width="12.375" style="5" hidden="1" customWidth="1"/>
    <col min="27" max="27" width="14" style="5" hidden="1" customWidth="1"/>
    <col min="28" max="28" width="72.375" style="5" hidden="1" customWidth="1"/>
    <col min="29" max="29" width="9.125" style="4" hidden="1" customWidth="1"/>
    <col min="30" max="16384" width="9.125" style="4"/>
  </cols>
  <sheetData>
    <row r="1" spans="1:28" x14ac:dyDescent="0.55000000000000004">
      <c r="A1" s="1" t="s">
        <v>0</v>
      </c>
      <c r="B1" s="2" t="s">
        <v>1</v>
      </c>
      <c r="C1" s="42" t="s">
        <v>58</v>
      </c>
      <c r="D1" s="42" t="s">
        <v>60</v>
      </c>
      <c r="E1" s="42" t="s">
        <v>61</v>
      </c>
      <c r="F1" s="43" t="s">
        <v>59</v>
      </c>
    </row>
    <row r="2" spans="1:28" x14ac:dyDescent="0.2">
      <c r="A2" s="6" t="s">
        <v>2</v>
      </c>
      <c r="B2" s="7" t="s">
        <v>3</v>
      </c>
      <c r="C2" s="8">
        <f>720920000-17420000</f>
        <v>703500000</v>
      </c>
      <c r="D2" s="8">
        <f>79011100-2885100</f>
        <v>76126000</v>
      </c>
      <c r="E2" s="8">
        <f>169178169-11658766.07</f>
        <v>157519402.93000001</v>
      </c>
      <c r="F2" s="8">
        <f>119817778.09-3322783.05</f>
        <v>116494995.04000001</v>
      </c>
      <c r="X2" s="9"/>
      <c r="Y2" s="10" t="s">
        <v>4</v>
      </c>
      <c r="Z2" s="11" t="s">
        <v>5</v>
      </c>
      <c r="AA2" s="11" t="s">
        <v>6</v>
      </c>
      <c r="AB2" s="47"/>
    </row>
    <row r="3" spans="1:28" ht="48.75" thickBot="1" x14ac:dyDescent="0.25">
      <c r="A3" s="6" t="s">
        <v>7</v>
      </c>
      <c r="B3" s="7" t="s">
        <v>8</v>
      </c>
      <c r="C3" s="8">
        <f>719135000-37120000</f>
        <v>682015000</v>
      </c>
      <c r="D3" s="8">
        <f>78751000-6195000</f>
        <v>72556000</v>
      </c>
      <c r="E3" s="8">
        <f>168767532.88-11449482.17</f>
        <v>157318050.71000001</v>
      </c>
      <c r="F3" s="8">
        <f>121178060.81-11070936.48</f>
        <v>110107124.33</v>
      </c>
      <c r="X3" s="12"/>
      <c r="Y3" s="12"/>
      <c r="Z3" s="13" t="s">
        <v>9</v>
      </c>
      <c r="AA3" s="12"/>
      <c r="AB3" s="48"/>
    </row>
    <row r="4" spans="1:28" ht="49.5" thickTop="1" thickBot="1" x14ac:dyDescent="0.25">
      <c r="A4" s="6" t="s">
        <v>10</v>
      </c>
      <c r="B4" s="7" t="s">
        <v>11</v>
      </c>
      <c r="C4" s="14">
        <f>SUM(C2-C3)</f>
        <v>21485000</v>
      </c>
      <c r="D4" s="14">
        <f>SUM(D2-D3)</f>
        <v>3570000</v>
      </c>
      <c r="E4" s="14">
        <f>SUM(E2-E3)</f>
        <v>201352.21999999881</v>
      </c>
      <c r="F4" s="14">
        <f>SUM(F2-F3)</f>
        <v>6387870.7100000083</v>
      </c>
      <c r="X4" s="15">
        <v>1</v>
      </c>
      <c r="Y4" s="15" t="s">
        <v>12</v>
      </c>
      <c r="Z4" s="15" t="s">
        <v>13</v>
      </c>
      <c r="AA4" s="15" t="s">
        <v>14</v>
      </c>
      <c r="AB4" s="16" t="s">
        <v>15</v>
      </c>
    </row>
    <row r="5" spans="1:28" ht="24.75" thickBot="1" x14ac:dyDescent="0.25">
      <c r="A5" s="6" t="s">
        <v>16</v>
      </c>
      <c r="B5" s="7" t="s">
        <v>17</v>
      </c>
      <c r="C5" s="17" t="str">
        <f>IF(C4&gt;0,"เกินดุล",IF(C4=0,"สมดุล","ขาดดุล"))</f>
        <v>เกินดุล</v>
      </c>
      <c r="D5" s="17" t="str">
        <f>IF(D4&gt;0,"เกินดุล",IF(D4=0,"สมดุล","ขาดดุล"))</f>
        <v>เกินดุล</v>
      </c>
      <c r="E5" s="17" t="str">
        <f>IF(E4&gt;0,"เกินดุล",IF(E4=0,"สมดุล","ขาดดุล"))</f>
        <v>เกินดุล</v>
      </c>
      <c r="F5" s="17" t="str">
        <f>IF(F4&gt;0,"เกินดุล",IF(F4=0,"สมดุล","ขาดดุล"))</f>
        <v>เกินดุล</v>
      </c>
      <c r="X5" s="18">
        <v>2</v>
      </c>
      <c r="Y5" s="18" t="s">
        <v>12</v>
      </c>
      <c r="Z5" s="18" t="s">
        <v>13</v>
      </c>
      <c r="AA5" s="19" t="s">
        <v>18</v>
      </c>
      <c r="AB5" s="20" t="s">
        <v>19</v>
      </c>
    </row>
    <row r="6" spans="1:28" ht="24.75" thickBot="1" x14ac:dyDescent="0.25">
      <c r="A6" s="6" t="s">
        <v>20</v>
      </c>
      <c r="B6" s="7" t="s">
        <v>21</v>
      </c>
      <c r="C6" s="14">
        <f>IF(C4&lt;=0,0,ROUNDUP((C4*20%),2))</f>
        <v>4297000</v>
      </c>
      <c r="D6" s="14">
        <f>IF(D4&lt;=0,0,ROUNDUP((D4*20%),2))</f>
        <v>714000</v>
      </c>
      <c r="E6" s="14">
        <f>IF(E4&lt;=0,0,ROUNDUP((E4*20%),2))</f>
        <v>40270.450000000004</v>
      </c>
      <c r="F6" s="14">
        <f>IF(F4&lt;=0,0,ROUNDUP((F4*20%),2))</f>
        <v>1277574.1499999999</v>
      </c>
      <c r="X6" s="21">
        <v>3</v>
      </c>
      <c r="Y6" s="21" t="s">
        <v>12</v>
      </c>
      <c r="Z6" s="21" t="s">
        <v>22</v>
      </c>
      <c r="AA6" s="21" t="s">
        <v>14</v>
      </c>
      <c r="AB6" s="22" t="s">
        <v>23</v>
      </c>
    </row>
    <row r="7" spans="1:28" ht="24.75" thickBot="1" x14ac:dyDescent="0.25">
      <c r="A7" s="6" t="s">
        <v>24</v>
      </c>
      <c r="B7" s="7" t="s">
        <v>25</v>
      </c>
      <c r="C7" s="14">
        <v>2900000</v>
      </c>
      <c r="D7" s="14">
        <v>382890.22</v>
      </c>
      <c r="E7" s="14">
        <v>4283.93</v>
      </c>
      <c r="F7" s="14">
        <f>SUM([1]Planfin2563!F91)</f>
        <v>0</v>
      </c>
      <c r="X7" s="23">
        <v>4</v>
      </c>
      <c r="Y7" s="23" t="s">
        <v>12</v>
      </c>
      <c r="Z7" s="23" t="s">
        <v>22</v>
      </c>
      <c r="AA7" s="24" t="s">
        <v>18</v>
      </c>
      <c r="AB7" s="25" t="s">
        <v>26</v>
      </c>
    </row>
    <row r="8" spans="1:28" ht="24.75" thickBot="1" x14ac:dyDescent="0.25">
      <c r="A8" s="6" t="s">
        <v>27</v>
      </c>
      <c r="B8" s="7" t="s">
        <v>28</v>
      </c>
      <c r="C8" s="14">
        <f>IF(C4=0,0,(C7/C4)*100)</f>
        <v>13.497789155224577</v>
      </c>
      <c r="D8" s="14">
        <f>IF(D4=0,0,(D7/D4)*100)</f>
        <v>10.725216246498599</v>
      </c>
      <c r="E8" s="14">
        <f>IF(E4=0,0,(E7/E4)*100)</f>
        <v>2.127580217392202</v>
      </c>
      <c r="F8" s="14">
        <f>IF(F4=0,0,(F7/F4)*100)</f>
        <v>0</v>
      </c>
      <c r="X8" s="26">
        <v>5</v>
      </c>
      <c r="Y8" s="27" t="s">
        <v>18</v>
      </c>
      <c r="Z8" s="27" t="s">
        <v>29</v>
      </c>
      <c r="AA8" s="26" t="s">
        <v>14</v>
      </c>
      <c r="AB8" s="28" t="s">
        <v>30</v>
      </c>
    </row>
    <row r="9" spans="1:28" ht="24.75" thickBot="1" x14ac:dyDescent="0.25">
      <c r="A9" s="49" t="s">
        <v>31</v>
      </c>
      <c r="B9" s="7" t="s">
        <v>32</v>
      </c>
      <c r="C9" s="14">
        <f>C6-C7</f>
        <v>1397000</v>
      </c>
      <c r="D9" s="14">
        <f>D6-D7</f>
        <v>331109.78000000003</v>
      </c>
      <c r="E9" s="14">
        <f>E6-E7</f>
        <v>35986.520000000004</v>
      </c>
      <c r="F9" s="14">
        <f>F6-F7</f>
        <v>1277574.1499999999</v>
      </c>
      <c r="X9" s="23">
        <v>6</v>
      </c>
      <c r="Y9" s="24" t="s">
        <v>18</v>
      </c>
      <c r="Z9" s="24" t="s">
        <v>29</v>
      </c>
      <c r="AA9" s="24" t="s">
        <v>33</v>
      </c>
      <c r="AB9" s="25" t="s">
        <v>34</v>
      </c>
    </row>
    <row r="10" spans="1:28" ht="24.75" thickBot="1" x14ac:dyDescent="0.25">
      <c r="A10" s="49"/>
      <c r="B10" s="7" t="s">
        <v>35</v>
      </c>
      <c r="C10" s="29" t="str">
        <f>IF(C9&gt;=0,"ไม่เกิน","เกิน")</f>
        <v>ไม่เกิน</v>
      </c>
      <c r="D10" s="29" t="str">
        <f>IF(D9&gt;=0,"ไม่เกิน","เกิน")</f>
        <v>ไม่เกิน</v>
      </c>
      <c r="E10" s="29" t="str">
        <f>IF(E9&gt;=0,"ไม่เกิน","เกิน")</f>
        <v>ไม่เกิน</v>
      </c>
      <c r="F10" s="29" t="str">
        <f>IF(F9&gt;=0,"ไม่เกิน","เกิน")</f>
        <v>ไม่เกิน</v>
      </c>
      <c r="X10" s="23"/>
      <c r="Y10" s="24"/>
      <c r="Z10" s="24"/>
      <c r="AA10" s="24"/>
      <c r="AB10" s="25"/>
    </row>
    <row r="11" spans="1:28" ht="24.75" thickBot="1" x14ac:dyDescent="0.25">
      <c r="A11" s="6" t="s">
        <v>36</v>
      </c>
      <c r="B11" s="7" t="s">
        <v>37</v>
      </c>
      <c r="C11" s="14">
        <v>4957859.3499999996</v>
      </c>
      <c r="D11" s="14">
        <v>8267465.6299999999</v>
      </c>
      <c r="E11" s="14">
        <v>1238445.33</v>
      </c>
      <c r="F11" s="14">
        <v>-1496403.03</v>
      </c>
      <c r="X11" s="21">
        <v>7</v>
      </c>
      <c r="Y11" s="30" t="s">
        <v>18</v>
      </c>
      <c r="Z11" s="30" t="s">
        <v>33</v>
      </c>
      <c r="AA11" s="21" t="s">
        <v>14</v>
      </c>
      <c r="AB11" s="22" t="s">
        <v>38</v>
      </c>
    </row>
    <row r="12" spans="1:28" x14ac:dyDescent="0.2">
      <c r="A12" s="6" t="s">
        <v>39</v>
      </c>
      <c r="B12" s="7" t="s">
        <v>40</v>
      </c>
      <c r="C12" s="14">
        <f>94523217.84-184004341.65</f>
        <v>-89481123.810000002</v>
      </c>
      <c r="D12" s="14">
        <f>11052651.79-9314864.77</f>
        <v>1737787.0199999996</v>
      </c>
      <c r="E12" s="14">
        <f>16742015.19-31891454.14</f>
        <v>-15149438.950000001</v>
      </c>
      <c r="F12" s="14">
        <f>6643503.73-15664410.01</f>
        <v>-9020906.2799999993</v>
      </c>
      <c r="X12" s="23">
        <v>8</v>
      </c>
      <c r="Y12" s="24" t="s">
        <v>18</v>
      </c>
      <c r="Z12" s="24" t="s">
        <v>33</v>
      </c>
      <c r="AA12" s="24" t="s">
        <v>18</v>
      </c>
      <c r="AB12" s="25" t="s">
        <v>41</v>
      </c>
    </row>
    <row r="13" spans="1:28" x14ac:dyDescent="0.2">
      <c r="A13" s="6" t="s">
        <v>42</v>
      </c>
      <c r="B13" s="7" t="s">
        <v>43</v>
      </c>
      <c r="C13" s="14">
        <f>SUM(C3/12)</f>
        <v>56834583.333333336</v>
      </c>
      <c r="D13" s="14">
        <f>SUM(D3/12)</f>
        <v>6046333.333333333</v>
      </c>
      <c r="E13" s="14">
        <f>SUM(E3/12)</f>
        <v>13109837.559166668</v>
      </c>
      <c r="F13" s="14">
        <f>SUM(F3/12)</f>
        <v>9175593.6941666659</v>
      </c>
    </row>
    <row r="14" spans="1:28" x14ac:dyDescent="0.2">
      <c r="A14" s="6" t="s">
        <v>44</v>
      </c>
      <c r="B14" s="7" t="s">
        <v>45</v>
      </c>
      <c r="C14" s="14">
        <f>IFERROR(SUM(C11/C13),0)</f>
        <v>8.7233143259312473E-2</v>
      </c>
      <c r="D14" s="14">
        <f>IFERROR(SUM(D11/D13),0)</f>
        <v>1.3673519427752356</v>
      </c>
      <c r="E14" s="14">
        <f>IFERROR(SUM(E11/E13),0)</f>
        <v>9.4466870730526606E-2</v>
      </c>
      <c r="F14" s="14">
        <f>IFERROR(SUM(F11/F13),0)</f>
        <v>-0.16308514520987674</v>
      </c>
    </row>
    <row r="15" spans="1:28" x14ac:dyDescent="0.2">
      <c r="A15" s="31" t="s">
        <v>46</v>
      </c>
      <c r="B15" s="7" t="s">
        <v>47</v>
      </c>
      <c r="C15" s="32">
        <f>IF(AND(C11&lt;0,C9&lt;0),(C9+C11),(C11-C9))</f>
        <v>3560859.3499999996</v>
      </c>
      <c r="D15" s="32">
        <f>IF(AND(D11&lt;0,D9&lt;0),(D9+D11),(D11-D9))</f>
        <v>7936355.8499999996</v>
      </c>
      <c r="E15" s="32">
        <f>IF(AND(E11&lt;0,E9&lt;0),(E9+E11),(E11-E9))</f>
        <v>1202458.81</v>
      </c>
      <c r="F15" s="32">
        <f>IF(AND(F11&lt;0,F9&lt;0),(F9+F11),(F11-F9))</f>
        <v>-2773977.1799999997</v>
      </c>
    </row>
    <row r="16" spans="1:28" ht="48" x14ac:dyDescent="0.2">
      <c r="A16" s="6" t="s">
        <v>48</v>
      </c>
      <c r="B16" s="7" t="s">
        <v>49</v>
      </c>
      <c r="C16" s="14">
        <f>IFERROR(SUM(C15/C13),0)</f>
        <v>6.2653038716157267E-2</v>
      </c>
      <c r="D16" s="14">
        <f>IFERROR(SUM(D15/D13),0)</f>
        <v>1.3125898643806164</v>
      </c>
      <c r="E16" s="14">
        <f>IFERROR(SUM(E15/E13),0)</f>
        <v>9.1721869517690263E-2</v>
      </c>
      <c r="F16" s="14">
        <f>IFERROR(SUM(F15/F13),0)</f>
        <v>-0.30232127450930402</v>
      </c>
    </row>
    <row r="17" spans="1:6" s="4" customFormat="1" ht="48" x14ac:dyDescent="0.2">
      <c r="A17" s="6" t="s">
        <v>50</v>
      </c>
      <c r="B17" s="7" t="s">
        <v>51</v>
      </c>
      <c r="C17" s="33" t="str">
        <f>IF(C4&gt;=0, "Normal", "Risk")</f>
        <v>Normal</v>
      </c>
      <c r="D17" s="33" t="str">
        <f>IF(D4&gt;=0, "Normal", "Risk")</f>
        <v>Normal</v>
      </c>
      <c r="E17" s="33" t="str">
        <f>IF(E4&gt;=0, "Normal", "Risk")</f>
        <v>Normal</v>
      </c>
      <c r="F17" s="33" t="str">
        <f>IF(F4&gt;=0, "Normal", "Risk")</f>
        <v>Normal</v>
      </c>
    </row>
    <row r="18" spans="1:6" s="4" customFormat="1" ht="48" x14ac:dyDescent="0.2">
      <c r="A18" s="6" t="s">
        <v>52</v>
      </c>
      <c r="B18" s="7" t="s">
        <v>53</v>
      </c>
      <c r="C18" s="33" t="str">
        <f>IF(C9&gt;=0, "Normal", "Risk")</f>
        <v>Normal</v>
      </c>
      <c r="D18" s="33" t="str">
        <f>IF(D9&gt;=0, "Normal", "Risk")</f>
        <v>Normal</v>
      </c>
      <c r="E18" s="33" t="str">
        <f>IF(E9&gt;=0, "Normal", "Risk")</f>
        <v>Normal</v>
      </c>
      <c r="F18" s="33" t="str">
        <f>IF(F9&gt;=0, "Normal", "Risk")</f>
        <v>Normal</v>
      </c>
    </row>
    <row r="19" spans="1:6" s="4" customFormat="1" ht="48" x14ac:dyDescent="0.2">
      <c r="A19" s="6" t="s">
        <v>54</v>
      </c>
      <c r="B19" s="7" t="s">
        <v>55</v>
      </c>
      <c r="C19" s="33" t="str">
        <f>IF(C16&gt;1, "Normal", "Risk")</f>
        <v>Risk</v>
      </c>
      <c r="D19" s="33" t="str">
        <f>IF(D16&gt;1, "Normal", "Risk")</f>
        <v>Normal</v>
      </c>
      <c r="E19" s="33" t="str">
        <f>IF(E16&gt;1, "Normal", "Risk")</f>
        <v>Risk</v>
      </c>
      <c r="F19" s="33" t="str">
        <f>IF(F16&gt;1, "Normal", "Risk")</f>
        <v>Risk</v>
      </c>
    </row>
    <row r="20" spans="1:6" s="4" customFormat="1" x14ac:dyDescent="0.2">
      <c r="A20" s="34"/>
      <c r="B20" s="6" t="s">
        <v>56</v>
      </c>
      <c r="C20" s="35">
        <f>IF(AND(C17="Normal",C18="Normal",C19="Normal"),1,IF(AND(C17="Normal",C18="Normal",C19="Risk"),2,IF(AND(C17="Normal",C18="Risk",C19="Normal"),3,IF(AND(C17="Normal",C18="Risk",C19="Risk"),4,IF(AND(C17="Risk",C18="Normal",C19="Normal"),5,IF(AND(C17="Risk",C18="Normal",C19="Risk"),6,IF(AND(C17="Risk",C18="Risk",C19="Normal"),7,IF(AND(C17="Risk",C18="Risk",C19="Risk"),8,"Unknows"))))))))</f>
        <v>2</v>
      </c>
      <c r="D20" s="35">
        <f>IF(AND(D17="Normal",D18="Normal",D19="Normal"),1,IF(AND(D17="Normal",D18="Normal",D19="Risk"),2,IF(AND(D17="Normal",D18="Risk",D19="Normal"),3,IF(AND(D17="Normal",D18="Risk",D19="Risk"),4,IF(AND(D17="Risk",D18="Normal",D19="Normal"),5,IF(AND(D17="Risk",D18="Normal",D19="Risk"),6,IF(AND(D17="Risk",D18="Risk",D19="Normal"),7,IF(AND(D17="Risk",D18="Risk",D19="Risk"),8,"Unknows"))))))))</f>
        <v>1</v>
      </c>
      <c r="E20" s="35">
        <f>IF(AND(E17="Normal",E18="Normal",E19="Normal"),1,IF(AND(E17="Normal",E18="Normal",E19="Risk"),2,IF(AND(E17="Normal",E18="Risk",E19="Normal"),3,IF(AND(E17="Normal",E18="Risk",E19="Risk"),4,IF(AND(E17="Risk",E18="Normal",E19="Normal"),5,IF(AND(E17="Risk",E18="Normal",E19="Risk"),6,IF(AND(E17="Risk",E18="Risk",E19="Normal"),7,IF(AND(E17="Risk",E18="Risk",E19="Risk"),8,"Unknows"))))))))</f>
        <v>2</v>
      </c>
      <c r="F20" s="35">
        <f>IF(AND(F17="Normal",F18="Normal",F19="Normal"),1,IF(AND(F17="Normal",F18="Normal",F19="Risk"),2,IF(AND(F17="Normal",F18="Risk",F19="Normal"),3,IF(AND(F17="Normal",F18="Risk",F19="Risk"),4,IF(AND(F17="Risk",F18="Normal",F19="Normal"),5,IF(AND(F17="Risk",F18="Normal",F19="Risk"),6,IF(AND(F17="Risk",F18="Risk",F19="Normal"),7,IF(AND(F17="Risk",F18="Risk",F19="Risk"),8,"Unknows"))))))))</f>
        <v>2</v>
      </c>
    </row>
    <row r="21" spans="1:6" s="4" customFormat="1" ht="48" x14ac:dyDescent="0.2">
      <c r="A21" s="36"/>
      <c r="B21" s="37" t="s">
        <v>57</v>
      </c>
      <c r="C21" s="38" t="str">
        <f>VLOOKUP(C20,$X$4:$AB$12,5,0)</f>
        <v xml:space="preserve">ทบทวนการลงทุนอีกครั้ง </v>
      </c>
      <c r="D21" s="38" t="str">
        <f>VLOOKUP(D20,$X$4:$AB$12,5,0)</f>
        <v xml:space="preserve"> ไม่ต้องปรับ</v>
      </c>
      <c r="E21" s="38" t="str">
        <f>VLOOKUP(E20,$X$4:$AB$12,5,0)</f>
        <v xml:space="preserve">ทบทวนการลงทุนอีกครั้ง </v>
      </c>
      <c r="F21" s="38" t="str">
        <f>VLOOKUP(F20,$X$4:$AB$12,5,0)</f>
        <v xml:space="preserve">ทบทวนการลงทุนอีกครั้ง </v>
      </c>
    </row>
  </sheetData>
  <mergeCells count="2">
    <mergeCell ref="AB2:AB3"/>
    <mergeCell ref="A9:A10"/>
  </mergeCells>
  <conditionalFormatting sqref="D22:D1048576">
    <cfRule type="containsText" dxfId="247" priority="15" operator="containsText" text="เกินดุล">
      <formula>NOT(ISERROR(SEARCH("เกินดุล",D22)))</formula>
    </cfRule>
    <cfRule type="containsText" dxfId="246" priority="16" operator="containsText" text="สมดุล">
      <formula>NOT(ISERROR(SEARCH("สมดุล",D22)))</formula>
    </cfRule>
    <cfRule type="containsText" dxfId="245" priority="17" operator="containsText" text="ขาดดุล">
      <formula>NOT(ISERROR(SEARCH("ขาดดุล",D22)))</formula>
    </cfRule>
    <cfRule type="containsText" dxfId="244" priority="18" operator="containsText" text="สมดุล">
      <formula>NOT(ISERROR(SEARCH("สมดุล",D22)))</formula>
    </cfRule>
  </conditionalFormatting>
  <conditionalFormatting sqref="A5:F5">
    <cfRule type="containsText" dxfId="243" priority="11" operator="containsText" text="เกินดุล">
      <formula>NOT(ISERROR(SEARCH("เกินดุล",A5)))</formula>
    </cfRule>
    <cfRule type="containsText" dxfId="242" priority="12" operator="containsText" text="สมดุล">
      <formula>NOT(ISERROR(SEARCH("สมดุล",A5)))</formula>
    </cfRule>
    <cfRule type="containsText" dxfId="241" priority="13" operator="containsText" text="ขาดดุล">
      <formula>NOT(ISERROR(SEARCH("ขาดดุล",A5)))</formula>
    </cfRule>
    <cfRule type="containsText" dxfId="240" priority="14" operator="containsText" text="สมดุล">
      <formula>NOT(ISERROR(SEARCH("สมดุล",A5)))</formula>
    </cfRule>
  </conditionalFormatting>
  <conditionalFormatting sqref="C9:F9">
    <cfRule type="cellIs" dxfId="239" priority="10" operator="lessThan">
      <formula>0</formula>
    </cfRule>
  </conditionalFormatting>
  <conditionalFormatting sqref="C20:F20">
    <cfRule type="cellIs" dxfId="238" priority="1" operator="equal">
      <formula>8</formula>
    </cfRule>
    <cfRule type="cellIs" dxfId="237" priority="2" operator="equal">
      <formula>7</formula>
    </cfRule>
    <cfRule type="cellIs" dxfId="236" priority="3" operator="equal">
      <formula>6</formula>
    </cfRule>
    <cfRule type="cellIs" dxfId="235" priority="4" operator="equal">
      <formula>5</formula>
    </cfRule>
    <cfRule type="cellIs" dxfId="234" priority="5" operator="equal">
      <formula>4</formula>
    </cfRule>
    <cfRule type="cellIs" dxfId="233" priority="6" operator="equal">
      <formula>3</formula>
    </cfRule>
    <cfRule type="cellIs" dxfId="232" priority="7" operator="equal">
      <formula>2</formula>
    </cfRule>
    <cfRule type="cellIs" dxfId="231" priority="8" operator="equal">
      <formula>1</formula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1"/>
  <sheetViews>
    <sheetView topLeftCell="A10" workbookViewId="0">
      <pane xSplit="2" topLeftCell="C1" activePane="topRight" state="frozen"/>
      <selection pane="topRight" activeCell="B26" sqref="B26"/>
    </sheetView>
  </sheetViews>
  <sheetFormatPr defaultColWidth="9.125" defaultRowHeight="24" x14ac:dyDescent="0.2"/>
  <cols>
    <col min="1" max="1" width="19.375" style="39" customWidth="1"/>
    <col min="2" max="2" width="65.75" style="40" customWidth="1"/>
    <col min="3" max="3" width="18.375" style="41" customWidth="1"/>
    <col min="4" max="6" width="18.375" style="3" customWidth="1"/>
    <col min="7" max="9" width="18.375" style="4" customWidth="1"/>
    <col min="10" max="10" width="25.625" style="4" customWidth="1"/>
    <col min="11" max="11" width="15.75" style="4" bestFit="1" customWidth="1"/>
    <col min="12" max="12" width="14.875" style="4" customWidth="1"/>
    <col min="13" max="13" width="17.75" style="4" bestFit="1" customWidth="1"/>
    <col min="14" max="14" width="22.75" style="4" customWidth="1"/>
    <col min="15" max="15" width="20.25" style="4" customWidth="1"/>
    <col min="16" max="16" width="19.875" style="4" customWidth="1"/>
    <col min="17" max="17" width="23" style="4" customWidth="1"/>
    <col min="18" max="18" width="13.625" style="4" customWidth="1"/>
    <col min="19" max="19" width="52" style="4" customWidth="1"/>
    <col min="20" max="23" width="9.125" style="4"/>
    <col min="24" max="24" width="6.375" style="5" hidden="1" customWidth="1"/>
    <col min="25" max="25" width="11.875" style="5" hidden="1" customWidth="1"/>
    <col min="26" max="26" width="12.375" style="5" hidden="1" customWidth="1"/>
    <col min="27" max="27" width="14" style="5" hidden="1" customWidth="1"/>
    <col min="28" max="28" width="72.375" style="5" hidden="1" customWidth="1"/>
    <col min="29" max="29" width="9.125" style="4" hidden="1" customWidth="1"/>
    <col min="30" max="16384" width="9.125" style="4"/>
  </cols>
  <sheetData>
    <row r="1" spans="1:28" x14ac:dyDescent="0.55000000000000004">
      <c r="A1" s="1" t="s">
        <v>0</v>
      </c>
      <c r="B1" s="2" t="s">
        <v>1</v>
      </c>
      <c r="C1" s="42" t="s">
        <v>62</v>
      </c>
      <c r="D1" s="42" t="s">
        <v>63</v>
      </c>
      <c r="E1" s="42" t="s">
        <v>65</v>
      </c>
      <c r="F1" s="43" t="s">
        <v>64</v>
      </c>
      <c r="G1" s="43" t="s">
        <v>67</v>
      </c>
      <c r="H1" s="43" t="s">
        <v>66</v>
      </c>
      <c r="I1" s="43" t="s">
        <v>68</v>
      </c>
    </row>
    <row r="2" spans="1:28" x14ac:dyDescent="0.2">
      <c r="A2" s="6" t="s">
        <v>2</v>
      </c>
      <c r="B2" s="7" t="s">
        <v>3</v>
      </c>
      <c r="C2" s="8">
        <f>2127312452.11-105512452.11</f>
        <v>2021800000</v>
      </c>
      <c r="D2" s="8">
        <f>260570985.37-11711425.03</f>
        <v>248859560.34</v>
      </c>
      <c r="E2" s="8">
        <f>303651396.51-5208369.4</f>
        <v>298443027.11000001</v>
      </c>
      <c r="F2" s="8">
        <f>283701089.46-11181651.14</f>
        <v>272519438.31999999</v>
      </c>
      <c r="G2" s="8">
        <f>189367810-4682960</f>
        <v>184684850</v>
      </c>
      <c r="H2" s="8">
        <f>290119051.73-5498051.73</f>
        <v>284621000</v>
      </c>
      <c r="I2" s="8">
        <f>89944530.93-1217026.77</f>
        <v>88727504.160000011</v>
      </c>
      <c r="X2" s="9"/>
      <c r="Y2" s="10" t="s">
        <v>4</v>
      </c>
      <c r="Z2" s="11" t="s">
        <v>5</v>
      </c>
      <c r="AA2" s="11" t="s">
        <v>6</v>
      </c>
      <c r="AB2" s="47"/>
    </row>
    <row r="3" spans="1:28" ht="48.75" thickBot="1" x14ac:dyDescent="0.25">
      <c r="A3" s="6" t="s">
        <v>7</v>
      </c>
      <c r="B3" s="7" t="s">
        <v>8</v>
      </c>
      <c r="C3" s="8">
        <f>1977500000-150000000</f>
        <v>1827500000</v>
      </c>
      <c r="D3" s="8">
        <f>249895634.7-36977324.14</f>
        <v>212918310.56</v>
      </c>
      <c r="E3" s="8">
        <f>303317343.72-17062639.6</f>
        <v>286254704.12</v>
      </c>
      <c r="F3" s="8">
        <f>282584699.17-33000000</f>
        <v>249584699.17000002</v>
      </c>
      <c r="G3" s="8">
        <f>189388815.39-14668580.21</f>
        <v>174720235.17999998</v>
      </c>
      <c r="H3" s="8">
        <f>282256297.49-24000000</f>
        <v>258256297.49000001</v>
      </c>
      <c r="I3" s="8">
        <f>67335070-11178502</f>
        <v>56156568</v>
      </c>
      <c r="X3" s="12"/>
      <c r="Y3" s="12"/>
      <c r="Z3" s="13" t="s">
        <v>9</v>
      </c>
      <c r="AA3" s="12"/>
      <c r="AB3" s="48"/>
    </row>
    <row r="4" spans="1:28" ht="49.5" thickTop="1" thickBot="1" x14ac:dyDescent="0.25">
      <c r="A4" s="6" t="s">
        <v>10</v>
      </c>
      <c r="B4" s="7" t="s">
        <v>11</v>
      </c>
      <c r="C4" s="14">
        <f>SUM(C2-C3)</f>
        <v>194300000</v>
      </c>
      <c r="D4" s="14">
        <f>SUM(D2-D3)</f>
        <v>35941249.780000001</v>
      </c>
      <c r="E4" s="14">
        <f>SUM(E2-E3)</f>
        <v>12188322.99000001</v>
      </c>
      <c r="F4" s="14">
        <f>SUM(F2-F3)</f>
        <v>22934739.149999976</v>
      </c>
      <c r="G4" s="14">
        <f t="shared" ref="G4:I4" si="0">SUM(G2-G3)</f>
        <v>9964614.8200000226</v>
      </c>
      <c r="H4" s="14">
        <f t="shared" si="0"/>
        <v>26364702.50999999</v>
      </c>
      <c r="I4" s="14">
        <f t="shared" si="0"/>
        <v>32570936.160000011</v>
      </c>
      <c r="X4" s="15">
        <v>1</v>
      </c>
      <c r="Y4" s="15" t="s">
        <v>12</v>
      </c>
      <c r="Z4" s="15" t="s">
        <v>13</v>
      </c>
      <c r="AA4" s="15" t="s">
        <v>14</v>
      </c>
      <c r="AB4" s="16" t="s">
        <v>15</v>
      </c>
    </row>
    <row r="5" spans="1:28" ht="24.75" thickBot="1" x14ac:dyDescent="0.25">
      <c r="A5" s="6" t="s">
        <v>16</v>
      </c>
      <c r="B5" s="7" t="s">
        <v>17</v>
      </c>
      <c r="C5" s="17" t="str">
        <f>IF(C4&gt;0,"เกินดุล",IF(C4=0,"สมดุล","ขาดดุล"))</f>
        <v>เกินดุล</v>
      </c>
      <c r="D5" s="17" t="str">
        <f>IF(D4&gt;0,"เกินดุล",IF(D4=0,"สมดุล","ขาดดุล"))</f>
        <v>เกินดุล</v>
      </c>
      <c r="E5" s="17" t="str">
        <f>IF(E4&gt;0,"เกินดุล",IF(E4=0,"สมดุล","ขาดดุล"))</f>
        <v>เกินดุล</v>
      </c>
      <c r="F5" s="17" t="str">
        <f>IF(F4&gt;0,"เกินดุล",IF(F4=0,"สมดุล","ขาดดุล"))</f>
        <v>เกินดุล</v>
      </c>
      <c r="G5" s="17" t="str">
        <f t="shared" ref="G5:I5" si="1">IF(G4&gt;0,"เกินดุล",IF(G4=0,"สมดุล","ขาดดุล"))</f>
        <v>เกินดุล</v>
      </c>
      <c r="H5" s="17" t="str">
        <f t="shared" si="1"/>
        <v>เกินดุล</v>
      </c>
      <c r="I5" s="17" t="str">
        <f t="shared" si="1"/>
        <v>เกินดุล</v>
      </c>
      <c r="X5" s="18">
        <v>2</v>
      </c>
      <c r="Y5" s="18" t="s">
        <v>12</v>
      </c>
      <c r="Z5" s="18" t="s">
        <v>13</v>
      </c>
      <c r="AA5" s="19" t="s">
        <v>18</v>
      </c>
      <c r="AB5" s="20" t="s">
        <v>19</v>
      </c>
    </row>
    <row r="6" spans="1:28" ht="24.75" thickBot="1" x14ac:dyDescent="0.25">
      <c r="A6" s="6" t="s">
        <v>20</v>
      </c>
      <c r="B6" s="7" t="s">
        <v>21</v>
      </c>
      <c r="C6" s="14">
        <f>IF(C4&lt;=0,0,ROUNDUP((C4*20%),2))</f>
        <v>38860000</v>
      </c>
      <c r="D6" s="14">
        <f>IF(D4&lt;=0,0,ROUNDUP((D4*20%),2))</f>
        <v>7188249.96</v>
      </c>
      <c r="E6" s="14">
        <f>IF(E4&lt;=0,0,ROUNDUP((E4*20%),2))</f>
        <v>2437664.5999999996</v>
      </c>
      <c r="F6" s="14">
        <f>IF(F4&lt;=0,0,ROUNDUP((F4*20%),2))</f>
        <v>4586947.83</v>
      </c>
      <c r="G6" s="14">
        <f t="shared" ref="G6:I6" si="2">IF(G4&lt;=0,0,ROUNDUP((G4*20%),2))</f>
        <v>1992922.97</v>
      </c>
      <c r="H6" s="14">
        <f t="shared" si="2"/>
        <v>5272940.51</v>
      </c>
      <c r="I6" s="14">
        <f t="shared" si="2"/>
        <v>6514187.2400000002</v>
      </c>
      <c r="X6" s="21">
        <v>3</v>
      </c>
      <c r="Y6" s="21" t="s">
        <v>12</v>
      </c>
      <c r="Z6" s="21" t="s">
        <v>22</v>
      </c>
      <c r="AA6" s="21" t="s">
        <v>14</v>
      </c>
      <c r="AB6" s="22" t="s">
        <v>23</v>
      </c>
    </row>
    <row r="7" spans="1:28" ht="24.75" thickBot="1" x14ac:dyDescent="0.25">
      <c r="A7" s="6" t="s">
        <v>24</v>
      </c>
      <c r="B7" s="7" t="s">
        <v>25</v>
      </c>
      <c r="C7" s="14">
        <v>35000000</v>
      </c>
      <c r="D7" s="14">
        <v>7188249.96</v>
      </c>
      <c r="E7" s="14">
        <v>40351151</v>
      </c>
      <c r="F7" s="14">
        <v>8501810</v>
      </c>
      <c r="G7" s="14">
        <v>792066</v>
      </c>
      <c r="H7" s="14">
        <f>SUM([1]Planfin2563!H91)</f>
        <v>0</v>
      </c>
      <c r="I7" s="14">
        <v>454900</v>
      </c>
      <c r="X7" s="23">
        <v>4</v>
      </c>
      <c r="Y7" s="23" t="s">
        <v>12</v>
      </c>
      <c r="Z7" s="23" t="s">
        <v>22</v>
      </c>
      <c r="AA7" s="24" t="s">
        <v>18</v>
      </c>
      <c r="AB7" s="25" t="s">
        <v>26</v>
      </c>
    </row>
    <row r="8" spans="1:28" ht="24.75" thickBot="1" x14ac:dyDescent="0.25">
      <c r="A8" s="6" t="s">
        <v>27</v>
      </c>
      <c r="B8" s="7" t="s">
        <v>28</v>
      </c>
      <c r="C8" s="14">
        <f>IF(C4=0,0,(C7/C4)*100)</f>
        <v>18.013381369016983</v>
      </c>
      <c r="D8" s="14">
        <f>IF(D4=0,0,(D7/D4)*100)</f>
        <v>20.000000011129274</v>
      </c>
      <c r="E8" s="14">
        <f>IF(E4=0,0,(E7/E4)*100)</f>
        <v>331.06401129266402</v>
      </c>
      <c r="F8" s="14">
        <f>IF(F4=0,0,(F7/F4)*100)</f>
        <v>37.069573559985351</v>
      </c>
      <c r="G8" s="14">
        <f t="shared" ref="G8:I8" si="3">IF(G4=0,0,(G7/G4)*100)</f>
        <v>7.9487869256144332</v>
      </c>
      <c r="H8" s="14">
        <f t="shared" si="3"/>
        <v>0</v>
      </c>
      <c r="I8" s="14">
        <f t="shared" si="3"/>
        <v>1.396643921333331</v>
      </c>
      <c r="X8" s="26">
        <v>5</v>
      </c>
      <c r="Y8" s="27" t="s">
        <v>18</v>
      </c>
      <c r="Z8" s="27" t="s">
        <v>29</v>
      </c>
      <c r="AA8" s="26" t="s">
        <v>14</v>
      </c>
      <c r="AB8" s="28" t="s">
        <v>30</v>
      </c>
    </row>
    <row r="9" spans="1:28" ht="24.75" thickBot="1" x14ac:dyDescent="0.25">
      <c r="A9" s="49" t="s">
        <v>31</v>
      </c>
      <c r="B9" s="7" t="s">
        <v>32</v>
      </c>
      <c r="C9" s="14">
        <f>C6-C7</f>
        <v>3860000</v>
      </c>
      <c r="D9" s="14">
        <f>D6-D7</f>
        <v>0</v>
      </c>
      <c r="E9" s="14">
        <f>E6-E7</f>
        <v>-37913486.399999999</v>
      </c>
      <c r="F9" s="14">
        <f>F6-F7</f>
        <v>-3914862.17</v>
      </c>
      <c r="G9" s="14">
        <f t="shared" ref="G9:I9" si="4">G6-G7</f>
        <v>1200856.97</v>
      </c>
      <c r="H9" s="14">
        <f t="shared" si="4"/>
        <v>5272940.51</v>
      </c>
      <c r="I9" s="14">
        <f t="shared" si="4"/>
        <v>6059287.2400000002</v>
      </c>
      <c r="X9" s="23">
        <v>6</v>
      </c>
      <c r="Y9" s="24" t="s">
        <v>18</v>
      </c>
      <c r="Z9" s="24" t="s">
        <v>29</v>
      </c>
      <c r="AA9" s="24" t="s">
        <v>33</v>
      </c>
      <c r="AB9" s="25" t="s">
        <v>34</v>
      </c>
    </row>
    <row r="10" spans="1:28" ht="24.75" thickBot="1" x14ac:dyDescent="0.25">
      <c r="A10" s="49"/>
      <c r="B10" s="7" t="s">
        <v>35</v>
      </c>
      <c r="C10" s="29" t="str">
        <f>IF(C9&gt;=0,"ไม่เกิน","เกิน")</f>
        <v>ไม่เกิน</v>
      </c>
      <c r="D10" s="29" t="str">
        <f>IF(D9&gt;=0,"ไม่เกิน","เกิน")</f>
        <v>ไม่เกิน</v>
      </c>
      <c r="E10" s="29" t="str">
        <f>IF(E9&gt;=0,"ไม่เกิน","เกิน")</f>
        <v>เกิน</v>
      </c>
      <c r="F10" s="29" t="str">
        <f>IF(F9&gt;=0,"ไม่เกิน","เกิน")</f>
        <v>เกิน</v>
      </c>
      <c r="G10" s="29" t="str">
        <f t="shared" ref="G10:I10" si="5">IF(G9&gt;=0,"ไม่เกิน","เกิน")</f>
        <v>ไม่เกิน</v>
      </c>
      <c r="H10" s="29" t="str">
        <f t="shared" si="5"/>
        <v>ไม่เกิน</v>
      </c>
      <c r="I10" s="29" t="str">
        <f t="shared" si="5"/>
        <v>ไม่เกิน</v>
      </c>
      <c r="X10" s="23"/>
      <c r="Y10" s="24"/>
      <c r="Z10" s="24"/>
      <c r="AA10" s="24"/>
      <c r="AB10" s="25"/>
    </row>
    <row r="11" spans="1:28" ht="24.75" thickBot="1" x14ac:dyDescent="0.25">
      <c r="A11" s="6" t="s">
        <v>36</v>
      </c>
      <c r="B11" s="7" t="s">
        <v>37</v>
      </c>
      <c r="C11" s="14">
        <v>80135070.379999995</v>
      </c>
      <c r="D11" s="14">
        <v>119261941.15000001</v>
      </c>
      <c r="E11" s="14">
        <v>42288228.090000004</v>
      </c>
      <c r="F11" s="14">
        <v>12223073.76</v>
      </c>
      <c r="G11" s="14">
        <v>13559082.35</v>
      </c>
      <c r="H11" s="14">
        <v>77633451.340000004</v>
      </c>
      <c r="I11" s="14">
        <v>9604125.8499999996</v>
      </c>
      <c r="X11" s="21">
        <v>7</v>
      </c>
      <c r="Y11" s="30" t="s">
        <v>18</v>
      </c>
      <c r="Z11" s="30" t="s">
        <v>33</v>
      </c>
      <c r="AA11" s="21" t="s">
        <v>14</v>
      </c>
      <c r="AB11" s="22" t="s">
        <v>38</v>
      </c>
    </row>
    <row r="12" spans="1:28" x14ac:dyDescent="0.2">
      <c r="A12" s="6" t="s">
        <v>39</v>
      </c>
      <c r="B12" s="7" t="s">
        <v>40</v>
      </c>
      <c r="C12" s="14">
        <f>237004161.18-496184202.69</f>
        <v>-259180041.50999999</v>
      </c>
      <c r="D12" s="14">
        <f>128146856.73-30044728.86</f>
        <v>98102127.870000005</v>
      </c>
      <c r="E12" s="14">
        <f>75365049.66-66065474.91</f>
        <v>9299574.75</v>
      </c>
      <c r="F12" s="14">
        <f>67457652.58-87585663.67</f>
        <v>-20128011.090000004</v>
      </c>
      <c r="G12" s="14">
        <f>46015533.31-46903272.01</f>
        <v>-887738.69999999553</v>
      </c>
      <c r="H12" s="14">
        <f>86587704.49-44227135.52</f>
        <v>42360568.969999991</v>
      </c>
      <c r="I12" s="14">
        <f>20562682.34-21103526.14</f>
        <v>-540843.80000000075</v>
      </c>
      <c r="X12" s="23">
        <v>8</v>
      </c>
      <c r="Y12" s="24" t="s">
        <v>18</v>
      </c>
      <c r="Z12" s="24" t="s">
        <v>33</v>
      </c>
      <c r="AA12" s="24" t="s">
        <v>18</v>
      </c>
      <c r="AB12" s="25" t="s">
        <v>41</v>
      </c>
    </row>
    <row r="13" spans="1:28" x14ac:dyDescent="0.2">
      <c r="A13" s="6" t="s">
        <v>42</v>
      </c>
      <c r="B13" s="7" t="s">
        <v>43</v>
      </c>
      <c r="C13" s="14">
        <f>SUM(C3/12)</f>
        <v>152291666.66666666</v>
      </c>
      <c r="D13" s="14">
        <f>SUM(D3/12)</f>
        <v>17743192.546666667</v>
      </c>
      <c r="E13" s="14">
        <f>SUM(E3/12)</f>
        <v>23854558.676666666</v>
      </c>
      <c r="F13" s="14">
        <f>SUM(F3/12)</f>
        <v>20798724.930833336</v>
      </c>
      <c r="G13" s="14">
        <f t="shared" ref="G13:I13" si="6">SUM(G3/12)</f>
        <v>14560019.598333331</v>
      </c>
      <c r="H13" s="14">
        <f t="shared" si="6"/>
        <v>21521358.124166667</v>
      </c>
      <c r="I13" s="14">
        <f t="shared" si="6"/>
        <v>4679714</v>
      </c>
    </row>
    <row r="14" spans="1:28" x14ac:dyDescent="0.2">
      <c r="A14" s="6" t="s">
        <v>44</v>
      </c>
      <c r="B14" s="7" t="s">
        <v>45</v>
      </c>
      <c r="C14" s="14">
        <f>IFERROR(SUM(C11/C13),0)</f>
        <v>0.52619471658549932</v>
      </c>
      <c r="D14" s="14">
        <f>IFERROR(SUM(D11/D13),0)</f>
        <v>6.7215604427628897</v>
      </c>
      <c r="E14" s="14">
        <f>IFERROR(SUM(E11/E13),0)</f>
        <v>1.7727524815357087</v>
      </c>
      <c r="F14" s="14">
        <f>IFERROR(SUM(F11/F13),0)</f>
        <v>0.58768380276426213</v>
      </c>
      <c r="G14" s="14">
        <f t="shared" ref="G14:I14" si="7">IFERROR(SUM(G11/G13),0)</f>
        <v>0.93125440240149759</v>
      </c>
      <c r="H14" s="14">
        <f t="shared" si="7"/>
        <v>3.6072747310879136</v>
      </c>
      <c r="I14" s="14">
        <f t="shared" si="7"/>
        <v>2.0522890608272215</v>
      </c>
    </row>
    <row r="15" spans="1:28" x14ac:dyDescent="0.2">
      <c r="A15" s="31" t="s">
        <v>46</v>
      </c>
      <c r="B15" s="7" t="s">
        <v>47</v>
      </c>
      <c r="C15" s="32">
        <f>IF(AND(C11&lt;0,C9&lt;0),(C9+C11),(C11-C9))</f>
        <v>76275070.379999995</v>
      </c>
      <c r="D15" s="32">
        <f>IF(AND(D11&lt;0,D9&lt;0),(D9+D11),(D11-D9))</f>
        <v>119261941.15000001</v>
      </c>
      <c r="E15" s="32">
        <f>IF(AND(E11&lt;0,E9&lt;0),(E9+E11),(E11-E9))</f>
        <v>80201714.49000001</v>
      </c>
      <c r="F15" s="32">
        <f>IF(AND(F11&lt;0,F9&lt;0),(F9+F11),(F11-F9))</f>
        <v>16137935.93</v>
      </c>
      <c r="G15" s="32">
        <f t="shared" ref="G15:I15" si="8">IF(AND(G11&lt;0,G9&lt;0),(G9+G11),(G11-G9))</f>
        <v>12358225.379999999</v>
      </c>
      <c r="H15" s="32">
        <f t="shared" si="8"/>
        <v>72360510.829999998</v>
      </c>
      <c r="I15" s="32">
        <f t="shared" si="8"/>
        <v>3544838.6099999994</v>
      </c>
    </row>
    <row r="16" spans="1:28" ht="48" x14ac:dyDescent="0.2">
      <c r="A16" s="6" t="s">
        <v>48</v>
      </c>
      <c r="B16" s="7" t="s">
        <v>49</v>
      </c>
      <c r="C16" s="14">
        <f>IFERROR(SUM(C15/C13),0)</f>
        <v>0.50084861535430913</v>
      </c>
      <c r="D16" s="14">
        <f>IFERROR(SUM(D15/D13),0)</f>
        <v>6.7215604427628897</v>
      </c>
      <c r="E16" s="14">
        <f>IFERROR(SUM(E15/E13),0)</f>
        <v>3.3621126920469631</v>
      </c>
      <c r="F16" s="14">
        <f>IFERROR(SUM(F15/F13),0)</f>
        <v>0.77590986868988832</v>
      </c>
      <c r="G16" s="14">
        <f t="shared" ref="G16:I16" si="9">IFERROR(SUM(G15/G13),0)</f>
        <v>0.8487780731706317</v>
      </c>
      <c r="H16" s="14">
        <f t="shared" si="9"/>
        <v>3.3622650769769615</v>
      </c>
      <c r="I16" s="14">
        <f t="shared" si="9"/>
        <v>0.75749043851825115</v>
      </c>
    </row>
    <row r="17" spans="1:9" s="4" customFormat="1" ht="48" x14ac:dyDescent="0.2">
      <c r="A17" s="6" t="s">
        <v>50</v>
      </c>
      <c r="B17" s="7" t="s">
        <v>51</v>
      </c>
      <c r="C17" s="33" t="str">
        <f>IF(C4&gt;=0, "Normal", "Risk")</f>
        <v>Normal</v>
      </c>
      <c r="D17" s="33" t="str">
        <f>IF(D4&gt;=0, "Normal", "Risk")</f>
        <v>Normal</v>
      </c>
      <c r="E17" s="33" t="str">
        <f>IF(E4&gt;=0, "Normal", "Risk")</f>
        <v>Normal</v>
      </c>
      <c r="F17" s="33" t="str">
        <f>IF(F4&gt;=0, "Normal", "Risk")</f>
        <v>Normal</v>
      </c>
      <c r="G17" s="33" t="str">
        <f t="shared" ref="G17:I17" si="10">IF(G4&gt;=0, "Normal", "Risk")</f>
        <v>Normal</v>
      </c>
      <c r="H17" s="33" t="str">
        <f t="shared" si="10"/>
        <v>Normal</v>
      </c>
      <c r="I17" s="33" t="str">
        <f t="shared" si="10"/>
        <v>Normal</v>
      </c>
    </row>
    <row r="18" spans="1:9" s="4" customFormat="1" ht="48" x14ac:dyDescent="0.2">
      <c r="A18" s="6" t="s">
        <v>52</v>
      </c>
      <c r="B18" s="7" t="s">
        <v>53</v>
      </c>
      <c r="C18" s="33" t="str">
        <f>IF(C9&gt;=0, "Normal", "Risk")</f>
        <v>Normal</v>
      </c>
      <c r="D18" s="33" t="str">
        <f>IF(D9&gt;=0, "Normal", "Risk")</f>
        <v>Normal</v>
      </c>
      <c r="E18" s="33" t="str">
        <f>IF(E9&gt;=0, "Normal", "Risk")</f>
        <v>Risk</v>
      </c>
      <c r="F18" s="33" t="str">
        <f>IF(F9&gt;=0, "Normal", "Risk")</f>
        <v>Risk</v>
      </c>
      <c r="G18" s="33" t="str">
        <f t="shared" ref="G18:I18" si="11">IF(G9&gt;=0, "Normal", "Risk")</f>
        <v>Normal</v>
      </c>
      <c r="H18" s="33" t="str">
        <f t="shared" si="11"/>
        <v>Normal</v>
      </c>
      <c r="I18" s="33" t="str">
        <f t="shared" si="11"/>
        <v>Normal</v>
      </c>
    </row>
    <row r="19" spans="1:9" s="4" customFormat="1" ht="48" x14ac:dyDescent="0.2">
      <c r="A19" s="6" t="s">
        <v>54</v>
      </c>
      <c r="B19" s="7" t="s">
        <v>55</v>
      </c>
      <c r="C19" s="33" t="str">
        <f>IF(C16&gt;1, "Normal", "Risk")</f>
        <v>Risk</v>
      </c>
      <c r="D19" s="33" t="str">
        <f>IF(D16&gt;1, "Normal", "Risk")</f>
        <v>Normal</v>
      </c>
      <c r="E19" s="33" t="str">
        <f>IF(E16&gt;1, "Normal", "Risk")</f>
        <v>Normal</v>
      </c>
      <c r="F19" s="33" t="str">
        <f>IF(F16&gt;1, "Normal", "Risk")</f>
        <v>Risk</v>
      </c>
      <c r="G19" s="33" t="str">
        <f t="shared" ref="G19:I19" si="12">IF(G16&gt;1, "Normal", "Risk")</f>
        <v>Risk</v>
      </c>
      <c r="H19" s="33" t="str">
        <f t="shared" si="12"/>
        <v>Normal</v>
      </c>
      <c r="I19" s="33" t="str">
        <f t="shared" si="12"/>
        <v>Risk</v>
      </c>
    </row>
    <row r="20" spans="1:9" s="4" customFormat="1" x14ac:dyDescent="0.2">
      <c r="A20" s="34"/>
      <c r="B20" s="6" t="s">
        <v>56</v>
      </c>
      <c r="C20" s="35">
        <f>IF(AND(C17="Normal",C18="Normal",C19="Normal"),1,IF(AND(C17="Normal",C18="Normal",C19="Risk"),2,IF(AND(C17="Normal",C18="Risk",C19="Normal"),3,IF(AND(C17="Normal",C18="Risk",C19="Risk"),4,IF(AND(C17="Risk",C18="Normal",C19="Normal"),5,IF(AND(C17="Risk",C18="Normal",C19="Risk"),6,IF(AND(C17="Risk",C18="Risk",C19="Normal"),7,IF(AND(C17="Risk",C18="Risk",C19="Risk"),8,"Unknows"))))))))</f>
        <v>2</v>
      </c>
      <c r="D20" s="35">
        <f>IF(AND(D17="Normal",D18="Normal",D19="Normal"),1,IF(AND(D17="Normal",D18="Normal",D19="Risk"),2,IF(AND(D17="Normal",D18="Risk",D19="Normal"),3,IF(AND(D17="Normal",D18="Risk",D19="Risk"),4,IF(AND(D17="Risk",D18="Normal",D19="Normal"),5,IF(AND(D17="Risk",D18="Normal",D19="Risk"),6,IF(AND(D17="Risk",D18="Risk",D19="Normal"),7,IF(AND(D17="Risk",D18="Risk",D19="Risk"),8,"Unknows"))))))))</f>
        <v>1</v>
      </c>
      <c r="E20" s="35">
        <f>IF(AND(E17="Normal",E18="Normal",E19="Normal"),1,IF(AND(E17="Normal",E18="Normal",E19="Risk"),2,IF(AND(E17="Normal",E18="Risk",E19="Normal"),3,IF(AND(E17="Normal",E18="Risk",E19="Risk"),4,IF(AND(E17="Risk",E18="Normal",E19="Normal"),5,IF(AND(E17="Risk",E18="Normal",E19="Risk"),6,IF(AND(E17="Risk",E18="Risk",E19="Normal"),7,IF(AND(E17="Risk",E18="Risk",E19="Risk"),8,"Unknows"))))))))</f>
        <v>3</v>
      </c>
      <c r="F20" s="35">
        <f>IF(AND(F17="Normal",F18="Normal",F19="Normal"),1,IF(AND(F17="Normal",F18="Normal",F19="Risk"),2,IF(AND(F17="Normal",F18="Risk",F19="Normal"),3,IF(AND(F17="Normal",F18="Risk",F19="Risk"),4,IF(AND(F17="Risk",F18="Normal",F19="Normal"),5,IF(AND(F17="Risk",F18="Normal",F19="Risk"),6,IF(AND(F17="Risk",F18="Risk",F19="Normal"),7,IF(AND(F17="Risk",F18="Risk",F19="Risk"),8,"Unknows"))))))))</f>
        <v>4</v>
      </c>
      <c r="G20" s="35">
        <f t="shared" ref="G20:I20" si="13">IF(AND(G17="Normal",G18="Normal",G19="Normal"),1,IF(AND(G17="Normal",G18="Normal",G19="Risk"),2,IF(AND(G17="Normal",G18="Risk",G19="Normal"),3,IF(AND(G17="Normal",G18="Risk",G19="Risk"),4,IF(AND(G17="Risk",G18="Normal",G19="Normal"),5,IF(AND(G17="Risk",G18="Normal",G19="Risk"),6,IF(AND(G17="Risk",G18="Risk",G19="Normal"),7,IF(AND(G17="Risk",G18="Risk",G19="Risk"),8,"Unknows"))))))))</f>
        <v>2</v>
      </c>
      <c r="H20" s="35">
        <f t="shared" si="13"/>
        <v>1</v>
      </c>
      <c r="I20" s="35">
        <f t="shared" si="13"/>
        <v>2</v>
      </c>
    </row>
    <row r="21" spans="1:9" s="4" customFormat="1" ht="120" x14ac:dyDescent="0.2">
      <c r="A21" s="36"/>
      <c r="B21" s="37" t="s">
        <v>57</v>
      </c>
      <c r="C21" s="38" t="str">
        <f>VLOOKUP(C20,$X$4:$AB$12,5,0)</f>
        <v xml:space="preserve">ทบทวนการลงทุนอีกครั้ง </v>
      </c>
      <c r="D21" s="38" t="str">
        <f>VLOOKUP(D20,$X$4:$AB$12,5,0)</f>
        <v xml:space="preserve"> ไม่ต้องปรับ</v>
      </c>
      <c r="E21" s="38" t="str">
        <f>VLOOKUP(E20,$X$4:$AB$12,5,0)</f>
        <v>ทบทวนการลงทุนอีกครั้ง ทำFeasibility study</v>
      </c>
      <c r="F21" s="38" t="str">
        <f>VLOOKUP(F20,$X$4:$AB$12,5,0)</f>
        <v xml:space="preserve"> ปรับลดการลงทุนให้ &lt; 20% EBITDA เพื่อเงินเหลือจาก EBITDA – ลงทุนจะไปเพิ่ม NWC  ทำ Feasibility study</v>
      </c>
      <c r="G21" s="38" t="str">
        <f t="shared" ref="G21:I21" si="14">VLOOKUP(G20,$X$4:$AB$12,5,0)</f>
        <v xml:space="preserve">ทบทวนการลงทุนอีกครั้ง </v>
      </c>
      <c r="H21" s="38" t="str">
        <f t="shared" si="14"/>
        <v xml:space="preserve"> ไม่ต้องปรับ</v>
      </c>
      <c r="I21" s="38" t="str">
        <f t="shared" si="14"/>
        <v xml:space="preserve">ทบทวนการลงทุนอีกครั้ง </v>
      </c>
    </row>
  </sheetData>
  <mergeCells count="2">
    <mergeCell ref="AB2:AB3"/>
    <mergeCell ref="A9:A10"/>
  </mergeCells>
  <conditionalFormatting sqref="D22:D1048576">
    <cfRule type="containsText" dxfId="230" priority="15" operator="containsText" text="เกินดุล">
      <formula>NOT(ISERROR(SEARCH("เกินดุล",D22)))</formula>
    </cfRule>
    <cfRule type="containsText" dxfId="229" priority="16" operator="containsText" text="สมดุล">
      <formula>NOT(ISERROR(SEARCH("สมดุล",D22)))</formula>
    </cfRule>
    <cfRule type="containsText" dxfId="228" priority="17" operator="containsText" text="ขาดดุล">
      <formula>NOT(ISERROR(SEARCH("ขาดดุล",D22)))</formula>
    </cfRule>
    <cfRule type="containsText" dxfId="227" priority="18" operator="containsText" text="สมดุล">
      <formula>NOT(ISERROR(SEARCH("สมดุล",D22)))</formula>
    </cfRule>
  </conditionalFormatting>
  <conditionalFormatting sqref="A5:I5">
    <cfRule type="containsText" dxfId="226" priority="11" operator="containsText" text="เกินดุล">
      <formula>NOT(ISERROR(SEARCH("เกินดุล",A5)))</formula>
    </cfRule>
    <cfRule type="containsText" dxfId="225" priority="12" operator="containsText" text="สมดุล">
      <formula>NOT(ISERROR(SEARCH("สมดุล",A5)))</formula>
    </cfRule>
    <cfRule type="containsText" dxfId="224" priority="13" operator="containsText" text="ขาดดุล">
      <formula>NOT(ISERROR(SEARCH("ขาดดุล",A5)))</formula>
    </cfRule>
    <cfRule type="containsText" dxfId="223" priority="14" operator="containsText" text="สมดุล">
      <formula>NOT(ISERROR(SEARCH("สมดุล",A5)))</formula>
    </cfRule>
  </conditionalFormatting>
  <conditionalFormatting sqref="C9:I9">
    <cfRule type="cellIs" dxfId="222" priority="10" operator="lessThan">
      <formula>0</formula>
    </cfRule>
  </conditionalFormatting>
  <conditionalFormatting sqref="C20:I20">
    <cfRule type="cellIs" dxfId="221" priority="1" operator="equal">
      <formula>8</formula>
    </cfRule>
    <cfRule type="cellIs" dxfId="220" priority="2" operator="equal">
      <formula>7</formula>
    </cfRule>
    <cfRule type="cellIs" dxfId="219" priority="3" operator="equal">
      <formula>6</formula>
    </cfRule>
    <cfRule type="cellIs" dxfId="218" priority="4" operator="equal">
      <formula>5</formula>
    </cfRule>
    <cfRule type="cellIs" dxfId="217" priority="5" operator="equal">
      <formula>4</formula>
    </cfRule>
    <cfRule type="cellIs" dxfId="216" priority="6" operator="equal">
      <formula>3</formula>
    </cfRule>
    <cfRule type="cellIs" dxfId="215" priority="7" operator="equal">
      <formula>2</formula>
    </cfRule>
    <cfRule type="cellIs" dxfId="214" priority="8" operator="equal">
      <formula>1</formula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1"/>
  <sheetViews>
    <sheetView workbookViewId="0">
      <pane xSplit="2" topLeftCell="C1" activePane="topRight" state="frozen"/>
      <selection pane="topRight" activeCell="E20" sqref="E20"/>
    </sheetView>
  </sheetViews>
  <sheetFormatPr defaultColWidth="9.125" defaultRowHeight="24" x14ac:dyDescent="0.2"/>
  <cols>
    <col min="1" max="1" width="19.375" style="39" customWidth="1"/>
    <col min="2" max="2" width="65.75" style="40" customWidth="1"/>
    <col min="3" max="3" width="18.375" style="41" customWidth="1"/>
    <col min="4" max="6" width="18.375" style="3" customWidth="1"/>
    <col min="7" max="10" width="18.375" style="4" customWidth="1"/>
    <col min="11" max="11" width="15.75" style="4" bestFit="1" customWidth="1"/>
    <col min="12" max="12" width="14.875" style="4" customWidth="1"/>
    <col min="13" max="13" width="17.75" style="4" bestFit="1" customWidth="1"/>
    <col min="14" max="14" width="22.75" style="4" customWidth="1"/>
    <col min="15" max="15" width="20.25" style="4" customWidth="1"/>
    <col min="16" max="16" width="19.875" style="4" customWidth="1"/>
    <col min="17" max="17" width="23" style="4" customWidth="1"/>
    <col min="18" max="18" width="13.625" style="4" customWidth="1"/>
    <col min="19" max="19" width="52" style="4" customWidth="1"/>
    <col min="20" max="23" width="9.125" style="4"/>
    <col min="24" max="24" width="6.375" style="5" hidden="1" customWidth="1"/>
    <col min="25" max="25" width="11.875" style="5" hidden="1" customWidth="1"/>
    <col min="26" max="26" width="12.375" style="5" hidden="1" customWidth="1"/>
    <col min="27" max="27" width="14" style="5" hidden="1" customWidth="1"/>
    <col min="28" max="28" width="72.375" style="5" hidden="1" customWidth="1"/>
    <col min="29" max="29" width="9.125" style="4" hidden="1" customWidth="1"/>
    <col min="30" max="16384" width="9.125" style="4"/>
  </cols>
  <sheetData>
    <row r="1" spans="1:28" x14ac:dyDescent="0.55000000000000004">
      <c r="A1" s="1" t="s">
        <v>0</v>
      </c>
      <c r="B1" s="2" t="s">
        <v>1</v>
      </c>
      <c r="C1" s="42" t="s">
        <v>69</v>
      </c>
      <c r="D1" s="42" t="s">
        <v>70</v>
      </c>
      <c r="E1" s="42" t="s">
        <v>71</v>
      </c>
      <c r="F1" s="43" t="s">
        <v>72</v>
      </c>
      <c r="G1" s="43" t="s">
        <v>73</v>
      </c>
      <c r="H1" s="43" t="s">
        <v>74</v>
      </c>
      <c r="I1" s="43" t="s">
        <v>75</v>
      </c>
      <c r="J1" s="43" t="s">
        <v>76</v>
      </c>
    </row>
    <row r="2" spans="1:28" x14ac:dyDescent="0.2">
      <c r="A2" s="6" t="s">
        <v>2</v>
      </c>
      <c r="B2" s="7" t="s">
        <v>3</v>
      </c>
      <c r="C2" s="8">
        <f>1382500000-277000000</f>
        <v>1105500000</v>
      </c>
      <c r="D2" s="8">
        <f>200050900-2790900</f>
        <v>197260000</v>
      </c>
      <c r="E2" s="8">
        <f>213474580-21823080</f>
        <v>191651500</v>
      </c>
      <c r="F2" s="8">
        <f>139802000-3000000</f>
        <v>136802000</v>
      </c>
      <c r="G2" s="8">
        <f>101800000-2100000</f>
        <v>99700000</v>
      </c>
      <c r="H2" s="8">
        <f>111200308-1725193</f>
        <v>109475115</v>
      </c>
      <c r="I2" s="8">
        <f>165596290-2253690</f>
        <v>163342600</v>
      </c>
      <c r="J2" s="8">
        <f>77556123-1716123</f>
        <v>75840000</v>
      </c>
      <c r="X2" s="9"/>
      <c r="Y2" s="10" t="s">
        <v>4</v>
      </c>
      <c r="Z2" s="11" t="s">
        <v>5</v>
      </c>
      <c r="AA2" s="11" t="s">
        <v>6</v>
      </c>
      <c r="AB2" s="47"/>
    </row>
    <row r="3" spans="1:28" ht="48.75" thickBot="1" x14ac:dyDescent="0.25">
      <c r="A3" s="6" t="s">
        <v>7</v>
      </c>
      <c r="B3" s="7" t="s">
        <v>8</v>
      </c>
      <c r="C3" s="8">
        <f>1151400000-86000000</f>
        <v>1065400000</v>
      </c>
      <c r="D3" s="8">
        <f>209341900-12128000</f>
        <v>197213900</v>
      </c>
      <c r="E3" s="8">
        <f>213237670-20000000</f>
        <v>193237670</v>
      </c>
      <c r="F3" s="8">
        <f>137203100-4764000</f>
        <v>132439100</v>
      </c>
      <c r="G3" s="8">
        <f>101560000-3700000</f>
        <v>97860000</v>
      </c>
      <c r="H3" s="8">
        <f>113972700-4873842</f>
        <v>109098858</v>
      </c>
      <c r="I3" s="8">
        <f>168117826-9000000</f>
        <v>159117826</v>
      </c>
      <c r="J3" s="8">
        <f>76885100-4500000</f>
        <v>72385100</v>
      </c>
      <c r="X3" s="12"/>
      <c r="Y3" s="12"/>
      <c r="Z3" s="13" t="s">
        <v>9</v>
      </c>
      <c r="AA3" s="12"/>
      <c r="AB3" s="48"/>
    </row>
    <row r="4" spans="1:28" ht="49.5" thickTop="1" thickBot="1" x14ac:dyDescent="0.25">
      <c r="A4" s="6" t="s">
        <v>10</v>
      </c>
      <c r="B4" s="7" t="s">
        <v>11</v>
      </c>
      <c r="C4" s="14">
        <f>SUM(C2-C3)</f>
        <v>40100000</v>
      </c>
      <c r="D4" s="14">
        <f>SUM(D2-D3)</f>
        <v>46100</v>
      </c>
      <c r="E4" s="14">
        <f>SUM(E2-E3)</f>
        <v>-1586170</v>
      </c>
      <c r="F4" s="14">
        <f>SUM(F2-F3)</f>
        <v>4362900</v>
      </c>
      <c r="G4" s="14">
        <f t="shared" ref="G4:J4" si="0">SUM(G2-G3)</f>
        <v>1840000</v>
      </c>
      <c r="H4" s="14">
        <f t="shared" si="0"/>
        <v>376257</v>
      </c>
      <c r="I4" s="14">
        <f t="shared" si="0"/>
        <v>4224774</v>
      </c>
      <c r="J4" s="14">
        <f t="shared" si="0"/>
        <v>3454900</v>
      </c>
      <c r="X4" s="15">
        <v>1</v>
      </c>
      <c r="Y4" s="15" t="s">
        <v>12</v>
      </c>
      <c r="Z4" s="15" t="s">
        <v>13</v>
      </c>
      <c r="AA4" s="15" t="s">
        <v>14</v>
      </c>
      <c r="AB4" s="16" t="s">
        <v>15</v>
      </c>
    </row>
    <row r="5" spans="1:28" ht="24.75" thickBot="1" x14ac:dyDescent="0.25">
      <c r="A5" s="6" t="s">
        <v>16</v>
      </c>
      <c r="B5" s="7" t="s">
        <v>17</v>
      </c>
      <c r="C5" s="17" t="str">
        <f>IF(C4&gt;0,"เกินดุล",IF(C4=0,"สมดุล","ขาดดุล"))</f>
        <v>เกินดุล</v>
      </c>
      <c r="D5" s="17" t="str">
        <f>IF(D4&gt;0,"เกินดุล",IF(D4=0,"สมดุล","ขาดดุล"))</f>
        <v>เกินดุล</v>
      </c>
      <c r="E5" s="17" t="str">
        <f>IF(E4&gt;0,"เกินดุล",IF(E4=0,"สมดุล","ขาดดุล"))</f>
        <v>ขาดดุล</v>
      </c>
      <c r="F5" s="17" t="str">
        <f>IF(F4&gt;0,"เกินดุล",IF(F4=0,"สมดุล","ขาดดุล"))</f>
        <v>เกินดุล</v>
      </c>
      <c r="G5" s="17" t="str">
        <f t="shared" ref="G5:J5" si="1">IF(G4&gt;0,"เกินดุล",IF(G4=0,"สมดุล","ขาดดุล"))</f>
        <v>เกินดุล</v>
      </c>
      <c r="H5" s="17" t="str">
        <f t="shared" si="1"/>
        <v>เกินดุล</v>
      </c>
      <c r="I5" s="17" t="str">
        <f t="shared" si="1"/>
        <v>เกินดุล</v>
      </c>
      <c r="J5" s="17" t="str">
        <f t="shared" si="1"/>
        <v>เกินดุล</v>
      </c>
      <c r="X5" s="18">
        <v>2</v>
      </c>
      <c r="Y5" s="18" t="s">
        <v>12</v>
      </c>
      <c r="Z5" s="18" t="s">
        <v>13</v>
      </c>
      <c r="AA5" s="19" t="s">
        <v>18</v>
      </c>
      <c r="AB5" s="20" t="s">
        <v>19</v>
      </c>
    </row>
    <row r="6" spans="1:28" ht="24.75" thickBot="1" x14ac:dyDescent="0.25">
      <c r="A6" s="6" t="s">
        <v>20</v>
      </c>
      <c r="B6" s="7" t="s">
        <v>21</v>
      </c>
      <c r="C6" s="14">
        <f>IF(C4&lt;=0,0,ROUNDUP((C4*20%),2))</f>
        <v>8020000</v>
      </c>
      <c r="D6" s="14">
        <f>IF(D4&lt;=0,0,ROUNDUP((D4*20%),2))</f>
        <v>9220</v>
      </c>
      <c r="E6" s="14">
        <f>IF(E4&lt;=0,0,ROUNDUP((E4*20%),2))</f>
        <v>0</v>
      </c>
      <c r="F6" s="14">
        <f>IF(F4&lt;=0,0,ROUNDUP((F4*20%),2))</f>
        <v>872580</v>
      </c>
      <c r="G6" s="14">
        <f t="shared" ref="G6:I6" si="2">IF(G4&lt;=0,0,ROUNDUP((G4*20%),2))</f>
        <v>368000</v>
      </c>
      <c r="H6" s="14">
        <f t="shared" si="2"/>
        <v>75251.399999999994</v>
      </c>
      <c r="I6" s="14">
        <f t="shared" si="2"/>
        <v>844954.8</v>
      </c>
      <c r="J6" s="14">
        <f t="shared" ref="J6" si="3">IF(J4&lt;=0,0,ROUNDUP((J4*20%),2))</f>
        <v>690980</v>
      </c>
      <c r="X6" s="21">
        <v>3</v>
      </c>
      <c r="Y6" s="21" t="s">
        <v>12</v>
      </c>
      <c r="Z6" s="21" t="s">
        <v>22</v>
      </c>
      <c r="AA6" s="21" t="s">
        <v>14</v>
      </c>
      <c r="AB6" s="22" t="s">
        <v>23</v>
      </c>
    </row>
    <row r="7" spans="1:28" ht="24.75" thickBot="1" x14ac:dyDescent="0.25">
      <c r="A7" s="6" t="s">
        <v>24</v>
      </c>
      <c r="B7" s="7" t="s">
        <v>25</v>
      </c>
      <c r="C7" s="14">
        <v>8000000</v>
      </c>
      <c r="D7" s="14">
        <f>SUM([1]Planfin2563!D91)</f>
        <v>0</v>
      </c>
      <c r="E7" s="14">
        <v>26113000</v>
      </c>
      <c r="F7" s="14">
        <f>SUM([1]Planfin2563!F91)</f>
        <v>0</v>
      </c>
      <c r="G7" s="14">
        <v>300000</v>
      </c>
      <c r="H7" s="14">
        <f>SUM([1]Planfin2563!H91)</f>
        <v>0</v>
      </c>
      <c r="I7" s="14">
        <v>756000</v>
      </c>
      <c r="J7" s="14">
        <v>632000</v>
      </c>
      <c r="X7" s="23">
        <v>4</v>
      </c>
      <c r="Y7" s="23" t="s">
        <v>12</v>
      </c>
      <c r="Z7" s="23" t="s">
        <v>22</v>
      </c>
      <c r="AA7" s="24" t="s">
        <v>18</v>
      </c>
      <c r="AB7" s="25" t="s">
        <v>26</v>
      </c>
    </row>
    <row r="8" spans="1:28" ht="24.75" thickBot="1" x14ac:dyDescent="0.25">
      <c r="A8" s="6" t="s">
        <v>27</v>
      </c>
      <c r="B8" s="7" t="s">
        <v>28</v>
      </c>
      <c r="C8" s="14">
        <f>IF(C4=0,0,(C7/C4)*100)</f>
        <v>19.950124688279303</v>
      </c>
      <c r="D8" s="14">
        <f>IF(D4=0,0,(D7/D4)*100)</f>
        <v>0</v>
      </c>
      <c r="E8" s="14">
        <f>IF(E4=0,0,(E7/E4)*100)</f>
        <v>-1646.2926420244994</v>
      </c>
      <c r="F8" s="14">
        <f>IF(F4=0,0,(F7/F4)*100)</f>
        <v>0</v>
      </c>
      <c r="G8" s="14">
        <f t="shared" ref="G8:J8" si="4">IF(G4=0,0,(G7/G4)*100)</f>
        <v>16.304347826086957</v>
      </c>
      <c r="H8" s="14">
        <f t="shared" si="4"/>
        <v>0</v>
      </c>
      <c r="I8" s="14">
        <f t="shared" si="4"/>
        <v>17.894448318418927</v>
      </c>
      <c r="J8" s="14">
        <f t="shared" si="4"/>
        <v>18.29285941705983</v>
      </c>
      <c r="X8" s="26">
        <v>5</v>
      </c>
      <c r="Y8" s="27" t="s">
        <v>18</v>
      </c>
      <c r="Z8" s="27" t="s">
        <v>29</v>
      </c>
      <c r="AA8" s="26" t="s">
        <v>14</v>
      </c>
      <c r="AB8" s="28" t="s">
        <v>30</v>
      </c>
    </row>
    <row r="9" spans="1:28" ht="24.75" thickBot="1" x14ac:dyDescent="0.25">
      <c r="A9" s="49" t="s">
        <v>31</v>
      </c>
      <c r="B9" s="7" t="s">
        <v>32</v>
      </c>
      <c r="C9" s="14">
        <f>C6-C7</f>
        <v>20000</v>
      </c>
      <c r="D9" s="14">
        <f>D6-D7</f>
        <v>9220</v>
      </c>
      <c r="E9" s="14">
        <f>E6-E7</f>
        <v>-26113000</v>
      </c>
      <c r="F9" s="14">
        <f>F6-F7</f>
        <v>872580</v>
      </c>
      <c r="G9" s="14">
        <f t="shared" ref="G9:I9" si="5">G6-G7</f>
        <v>68000</v>
      </c>
      <c r="H9" s="14">
        <f t="shared" si="5"/>
        <v>75251.399999999994</v>
      </c>
      <c r="I9" s="14">
        <f t="shared" si="5"/>
        <v>88954.800000000047</v>
      </c>
      <c r="J9" s="14">
        <f t="shared" ref="J9" si="6">J6-J7</f>
        <v>58980</v>
      </c>
      <c r="X9" s="23">
        <v>6</v>
      </c>
      <c r="Y9" s="24" t="s">
        <v>18</v>
      </c>
      <c r="Z9" s="24" t="s">
        <v>29</v>
      </c>
      <c r="AA9" s="24" t="s">
        <v>33</v>
      </c>
      <c r="AB9" s="25" t="s">
        <v>34</v>
      </c>
    </row>
    <row r="10" spans="1:28" ht="24.75" thickBot="1" x14ac:dyDescent="0.25">
      <c r="A10" s="49"/>
      <c r="B10" s="7" t="s">
        <v>35</v>
      </c>
      <c r="C10" s="29" t="str">
        <f>IF(C9&gt;=0,"ไม่เกิน","เกิน")</f>
        <v>ไม่เกิน</v>
      </c>
      <c r="D10" s="29" t="str">
        <f>IF(D9&gt;=0,"ไม่เกิน","เกิน")</f>
        <v>ไม่เกิน</v>
      </c>
      <c r="E10" s="29" t="str">
        <f>IF(E9&gt;=0,"ไม่เกิน","เกิน")</f>
        <v>เกิน</v>
      </c>
      <c r="F10" s="29" t="str">
        <f>IF(F9&gt;=0,"ไม่เกิน","เกิน")</f>
        <v>ไม่เกิน</v>
      </c>
      <c r="G10" s="29" t="str">
        <f t="shared" ref="G10:J10" si="7">IF(G9&gt;=0,"ไม่เกิน","เกิน")</f>
        <v>ไม่เกิน</v>
      </c>
      <c r="H10" s="29" t="str">
        <f t="shared" si="7"/>
        <v>ไม่เกิน</v>
      </c>
      <c r="I10" s="29" t="str">
        <f t="shared" si="7"/>
        <v>ไม่เกิน</v>
      </c>
      <c r="J10" s="29" t="str">
        <f t="shared" si="7"/>
        <v>ไม่เกิน</v>
      </c>
      <c r="X10" s="23"/>
      <c r="Y10" s="24"/>
      <c r="Z10" s="24"/>
      <c r="AA10" s="24"/>
      <c r="AB10" s="25"/>
    </row>
    <row r="11" spans="1:28" ht="24.75" thickBot="1" x14ac:dyDescent="0.25">
      <c r="A11" s="6" t="s">
        <v>36</v>
      </c>
      <c r="B11" s="7" t="s">
        <v>37</v>
      </c>
      <c r="C11" s="14">
        <v>814466597.85000002</v>
      </c>
      <c r="D11" s="14">
        <v>15057619.32</v>
      </c>
      <c r="E11" s="14">
        <v>66330214.390000001</v>
      </c>
      <c r="F11" s="14">
        <v>82913507.409999996</v>
      </c>
      <c r="G11" s="14">
        <v>-5515516.1500000004</v>
      </c>
      <c r="H11" s="14">
        <v>12832974.970000001</v>
      </c>
      <c r="I11" s="14">
        <v>41381770.170000002</v>
      </c>
      <c r="J11" s="14">
        <v>-655659.24</v>
      </c>
      <c r="X11" s="21">
        <v>7</v>
      </c>
      <c r="Y11" s="30" t="s">
        <v>18</v>
      </c>
      <c r="Z11" s="30" t="s">
        <v>33</v>
      </c>
      <c r="AA11" s="21" t="s">
        <v>14</v>
      </c>
      <c r="AB11" s="22" t="s">
        <v>38</v>
      </c>
    </row>
    <row r="12" spans="1:28" x14ac:dyDescent="0.2">
      <c r="A12" s="6" t="s">
        <v>39</v>
      </c>
      <c r="B12" s="7" t="s">
        <v>40</v>
      </c>
      <c r="C12" s="14">
        <f>555107343.28-213639291.66</f>
        <v>341468051.62</v>
      </c>
      <c r="D12" s="14">
        <f>38106887.29-42243688.87</f>
        <v>-4136801.5799999982</v>
      </c>
      <c r="E12" s="14">
        <f>127347512.31-80718438.02</f>
        <v>46629074.290000007</v>
      </c>
      <c r="F12" s="14">
        <f>94758630.32-22646441.7</f>
        <v>72112188.61999999</v>
      </c>
      <c r="G12" s="14">
        <f>8694620.17-24092273.92</f>
        <v>-15397653.750000002</v>
      </c>
      <c r="H12" s="14">
        <f>27006755.32-31835395.46</f>
        <v>-4828640.1400000006</v>
      </c>
      <c r="I12" s="14">
        <f>53335822.73-29056379.02</f>
        <v>24279443.709999997</v>
      </c>
      <c r="J12" s="14">
        <f>11882674.14-32811150.12</f>
        <v>-20928475.98</v>
      </c>
      <c r="X12" s="23">
        <v>8</v>
      </c>
      <c r="Y12" s="24" t="s">
        <v>18</v>
      </c>
      <c r="Z12" s="24" t="s">
        <v>33</v>
      </c>
      <c r="AA12" s="24" t="s">
        <v>18</v>
      </c>
      <c r="AB12" s="25" t="s">
        <v>41</v>
      </c>
    </row>
    <row r="13" spans="1:28" x14ac:dyDescent="0.2">
      <c r="A13" s="6" t="s">
        <v>42</v>
      </c>
      <c r="B13" s="7" t="s">
        <v>43</v>
      </c>
      <c r="C13" s="14">
        <f>SUM(C3/12)</f>
        <v>88783333.333333328</v>
      </c>
      <c r="D13" s="14">
        <f>SUM(D3/12)</f>
        <v>16434491.666666666</v>
      </c>
      <c r="E13" s="14">
        <f>SUM(E3/12)</f>
        <v>16103139.166666666</v>
      </c>
      <c r="F13" s="14">
        <f>SUM(F3/12)</f>
        <v>11036591.666666666</v>
      </c>
      <c r="G13" s="14">
        <f t="shared" ref="G13:I13" si="8">SUM(G3/12)</f>
        <v>8155000</v>
      </c>
      <c r="H13" s="14">
        <f t="shared" si="8"/>
        <v>9091571.5</v>
      </c>
      <c r="I13" s="14">
        <f t="shared" si="8"/>
        <v>13259818.833333334</v>
      </c>
      <c r="J13" s="14">
        <f t="shared" ref="J13" si="9">SUM(J3/12)</f>
        <v>6032091.666666667</v>
      </c>
    </row>
    <row r="14" spans="1:28" x14ac:dyDescent="0.2">
      <c r="A14" s="6" t="s">
        <v>44</v>
      </c>
      <c r="B14" s="7" t="s">
        <v>45</v>
      </c>
      <c r="C14" s="14">
        <f>IFERROR(SUM(C11/C13),0)</f>
        <v>9.1736429267880624</v>
      </c>
      <c r="D14" s="14">
        <f>IFERROR(SUM(D11/D13),0)</f>
        <v>0.91622056984827138</v>
      </c>
      <c r="E14" s="14">
        <f>IFERROR(SUM(E11/E13),0)</f>
        <v>4.1190859560664341</v>
      </c>
      <c r="F14" s="14">
        <f>IFERROR(SUM(F11/F13),0)</f>
        <v>7.5126008023310336</v>
      </c>
      <c r="G14" s="14">
        <f t="shared" ref="G14:J14" si="10">IFERROR(SUM(G11/G13),0)</f>
        <v>-0.67633551808706316</v>
      </c>
      <c r="H14" s="14">
        <f t="shared" si="10"/>
        <v>1.4115243959748873</v>
      </c>
      <c r="I14" s="14">
        <f t="shared" si="10"/>
        <v>3.1208397859835011</v>
      </c>
      <c r="J14" s="14">
        <f t="shared" si="10"/>
        <v>-0.1086951717964056</v>
      </c>
    </row>
    <row r="15" spans="1:28" x14ac:dyDescent="0.2">
      <c r="A15" s="31" t="s">
        <v>46</v>
      </c>
      <c r="B15" s="7" t="s">
        <v>47</v>
      </c>
      <c r="C15" s="32">
        <f>IF(AND(C11&lt;0,C9&lt;0),(C9+C11),(C11-C9))</f>
        <v>814446597.85000002</v>
      </c>
      <c r="D15" s="32">
        <f>IF(AND(D11&lt;0,D9&lt;0),(D9+D11),(D11-D9))</f>
        <v>15048399.32</v>
      </c>
      <c r="E15" s="32">
        <f>IF(AND(E11&lt;0,E9&lt;0),(E9+E11),(E11-E9))</f>
        <v>92443214.390000001</v>
      </c>
      <c r="F15" s="32">
        <f>IF(AND(F11&lt;0,F9&lt;0),(F9+F11),(F11-F9))</f>
        <v>82040927.409999996</v>
      </c>
      <c r="G15" s="32">
        <f t="shared" ref="G15:I15" si="11">IF(AND(G11&lt;0,G9&lt;0),(G9+G11),(G11-G9))</f>
        <v>-5583516.1500000004</v>
      </c>
      <c r="H15" s="32">
        <f t="shared" si="11"/>
        <v>12757723.57</v>
      </c>
      <c r="I15" s="32">
        <f t="shared" si="11"/>
        <v>41292815.370000005</v>
      </c>
      <c r="J15" s="32">
        <f t="shared" ref="J15" si="12">IF(AND(J11&lt;0,J9&lt;0),(J9+J11),(J11-J9))</f>
        <v>-714639.24</v>
      </c>
    </row>
    <row r="16" spans="1:28" ht="48" x14ac:dyDescent="0.2">
      <c r="A16" s="6" t="s">
        <v>48</v>
      </c>
      <c r="B16" s="7" t="s">
        <v>49</v>
      </c>
      <c r="C16" s="14">
        <f>IFERROR(SUM(C15/C13),0)</f>
        <v>9.1734176592828991</v>
      </c>
      <c r="D16" s="14">
        <f>IFERROR(SUM(D15/D13),0)</f>
        <v>0.91565955462571358</v>
      </c>
      <c r="E16" s="14">
        <f>IFERROR(SUM(E15/E13),0)</f>
        <v>5.7406952416679422</v>
      </c>
      <c r="F16" s="14">
        <f>IFERROR(SUM(F15/F13),0)</f>
        <v>7.4335383502304078</v>
      </c>
      <c r="G16" s="14">
        <f t="shared" ref="G16:J16" si="13">IFERROR(SUM(G15/G13),0)</f>
        <v>-0.68467396076026987</v>
      </c>
      <c r="H16" s="14">
        <f t="shared" si="13"/>
        <v>1.4032473450822007</v>
      </c>
      <c r="I16" s="14">
        <f t="shared" si="13"/>
        <v>3.1141311875389754</v>
      </c>
      <c r="J16" s="14">
        <f t="shared" si="13"/>
        <v>-0.1184728746661951</v>
      </c>
    </row>
    <row r="17" spans="1:10" s="4" customFormat="1" ht="48" x14ac:dyDescent="0.2">
      <c r="A17" s="6" t="s">
        <v>50</v>
      </c>
      <c r="B17" s="7" t="s">
        <v>51</v>
      </c>
      <c r="C17" s="33" t="str">
        <f>IF(C4&gt;=0, "Normal", "Risk")</f>
        <v>Normal</v>
      </c>
      <c r="D17" s="33" t="str">
        <f>IF(D4&gt;=0, "Normal", "Risk")</f>
        <v>Normal</v>
      </c>
      <c r="E17" s="33" t="str">
        <f>IF(E4&gt;=0, "Normal", "Risk")</f>
        <v>Risk</v>
      </c>
      <c r="F17" s="33" t="str">
        <f>IF(F4&gt;=0, "Normal", "Risk")</f>
        <v>Normal</v>
      </c>
      <c r="G17" s="33" t="str">
        <f t="shared" ref="G17:I17" si="14">IF(G4&gt;=0, "Normal", "Risk")</f>
        <v>Normal</v>
      </c>
      <c r="H17" s="33" t="str">
        <f t="shared" si="14"/>
        <v>Normal</v>
      </c>
      <c r="I17" s="33" t="str">
        <f t="shared" si="14"/>
        <v>Normal</v>
      </c>
      <c r="J17" s="33" t="str">
        <f t="shared" ref="J17" si="15">IF(J4&gt;=0, "Normal", "Risk")</f>
        <v>Normal</v>
      </c>
    </row>
    <row r="18" spans="1:10" s="4" customFormat="1" ht="48" x14ac:dyDescent="0.2">
      <c r="A18" s="6" t="s">
        <v>52</v>
      </c>
      <c r="B18" s="7" t="s">
        <v>53</v>
      </c>
      <c r="C18" s="33" t="str">
        <f>IF(C9&gt;=0, "Normal", "Risk")</f>
        <v>Normal</v>
      </c>
      <c r="D18" s="33" t="str">
        <f>IF(D9&gt;=0, "Normal", "Risk")</f>
        <v>Normal</v>
      </c>
      <c r="E18" s="33" t="str">
        <f>IF(E9&gt;=0, "Normal", "Risk")</f>
        <v>Risk</v>
      </c>
      <c r="F18" s="33" t="str">
        <f>IF(F9&gt;=0, "Normal", "Risk")</f>
        <v>Normal</v>
      </c>
      <c r="G18" s="33" t="str">
        <f t="shared" ref="G18:I18" si="16">IF(G9&gt;=0, "Normal", "Risk")</f>
        <v>Normal</v>
      </c>
      <c r="H18" s="33" t="str">
        <f t="shared" si="16"/>
        <v>Normal</v>
      </c>
      <c r="I18" s="33" t="str">
        <f t="shared" si="16"/>
        <v>Normal</v>
      </c>
      <c r="J18" s="33" t="str">
        <f t="shared" ref="J18" si="17">IF(J9&gt;=0, "Normal", "Risk")</f>
        <v>Normal</v>
      </c>
    </row>
    <row r="19" spans="1:10" s="4" customFormat="1" ht="48" x14ac:dyDescent="0.2">
      <c r="A19" s="6" t="s">
        <v>54</v>
      </c>
      <c r="B19" s="7" t="s">
        <v>55</v>
      </c>
      <c r="C19" s="33" t="str">
        <f>IF(C16&gt;1, "Normal", "Risk")</f>
        <v>Normal</v>
      </c>
      <c r="D19" s="33" t="str">
        <f>IF(D16&gt;1, "Normal", "Risk")</f>
        <v>Risk</v>
      </c>
      <c r="E19" s="33" t="str">
        <f>IF(E16&gt;1, "Normal", "Risk")</f>
        <v>Normal</v>
      </c>
      <c r="F19" s="33" t="str">
        <f>IF(F16&gt;1, "Normal", "Risk")</f>
        <v>Normal</v>
      </c>
      <c r="G19" s="33" t="str">
        <f t="shared" ref="G19:I19" si="18">IF(G16&gt;1, "Normal", "Risk")</f>
        <v>Risk</v>
      </c>
      <c r="H19" s="33" t="str">
        <f t="shared" si="18"/>
        <v>Normal</v>
      </c>
      <c r="I19" s="33" t="str">
        <f t="shared" si="18"/>
        <v>Normal</v>
      </c>
      <c r="J19" s="33" t="str">
        <f t="shared" ref="J19" si="19">IF(J16&gt;1, "Normal", "Risk")</f>
        <v>Risk</v>
      </c>
    </row>
    <row r="20" spans="1:10" s="4" customFormat="1" x14ac:dyDescent="0.2">
      <c r="A20" s="34"/>
      <c r="B20" s="6" t="s">
        <v>56</v>
      </c>
      <c r="C20" s="35">
        <f>IF(AND(C17="Normal",C18="Normal",C19="Normal"),1,IF(AND(C17="Normal",C18="Normal",C19="Risk"),2,IF(AND(C17="Normal",C18="Risk",C19="Normal"),3,IF(AND(C17="Normal",C18="Risk",C19="Risk"),4,IF(AND(C17="Risk",C18="Normal",C19="Normal"),5,IF(AND(C17="Risk",C18="Normal",C19="Risk"),6,IF(AND(C17="Risk",C18="Risk",C19="Normal"),7,IF(AND(C17="Risk",C18="Risk",C19="Risk"),8,"Unknows"))))))))</f>
        <v>1</v>
      </c>
      <c r="D20" s="35">
        <f>IF(AND(D17="Normal",D18="Normal",D19="Normal"),1,IF(AND(D17="Normal",D18="Normal",D19="Risk"),2,IF(AND(D17="Normal",D18="Risk",D19="Normal"),3,IF(AND(D17="Normal",D18="Risk",D19="Risk"),4,IF(AND(D17="Risk",D18="Normal",D19="Normal"),5,IF(AND(D17="Risk",D18="Normal",D19="Risk"),6,IF(AND(D17="Risk",D18="Risk",D19="Normal"),7,IF(AND(D17="Risk",D18="Risk",D19="Risk"),8,"Unknows"))))))))</f>
        <v>2</v>
      </c>
      <c r="E20" s="35">
        <f>IF(AND(E17="Normal",E18="Normal",E19="Normal"),1,IF(AND(E17="Normal",E18="Normal",E19="Risk"),2,IF(AND(E17="Normal",E18="Risk",E19="Normal"),3,IF(AND(E17="Normal",E18="Risk",E19="Risk"),4,IF(AND(E17="Risk",E18="Normal",E19="Normal"),5,IF(AND(E17="Risk",E18="Normal",E19="Risk"),6,IF(AND(E17="Risk",E18="Risk",E19="Normal"),7,IF(AND(E17="Risk",E18="Risk",E19="Risk"),8,"Unknows"))))))))</f>
        <v>7</v>
      </c>
      <c r="F20" s="35">
        <f>IF(AND(F17="Normal",F18="Normal",F19="Normal"),1,IF(AND(F17="Normal",F18="Normal",F19="Risk"),2,IF(AND(F17="Normal",F18="Risk",F19="Normal"),3,IF(AND(F17="Normal",F18="Risk",F19="Risk"),4,IF(AND(F17="Risk",F18="Normal",F19="Normal"),5,IF(AND(F17="Risk",F18="Normal",F19="Risk"),6,IF(AND(F17="Risk",F18="Risk",F19="Normal"),7,IF(AND(F17="Risk",F18="Risk",F19="Risk"),8,"Unknows"))))))))</f>
        <v>1</v>
      </c>
      <c r="G20" s="35">
        <f t="shared" ref="G20:J20" si="20">IF(AND(G17="Normal",G18="Normal",G19="Normal"),1,IF(AND(G17="Normal",G18="Normal",G19="Risk"),2,IF(AND(G17="Normal",G18="Risk",G19="Normal"),3,IF(AND(G17="Normal",G18="Risk",G19="Risk"),4,IF(AND(G17="Risk",G18="Normal",G19="Normal"),5,IF(AND(G17="Risk",G18="Normal",G19="Risk"),6,IF(AND(G17="Risk",G18="Risk",G19="Normal"),7,IF(AND(G17="Risk",G18="Risk",G19="Risk"),8,"Unknows"))))))))</f>
        <v>2</v>
      </c>
      <c r="H20" s="35">
        <f t="shared" si="20"/>
        <v>1</v>
      </c>
      <c r="I20" s="35">
        <f t="shared" si="20"/>
        <v>1</v>
      </c>
      <c r="J20" s="35">
        <f t="shared" si="20"/>
        <v>2</v>
      </c>
    </row>
    <row r="21" spans="1:10" s="4" customFormat="1" ht="120" x14ac:dyDescent="0.2">
      <c r="A21" s="36"/>
      <c r="B21" s="37" t="s">
        <v>57</v>
      </c>
      <c r="C21" s="38" t="str">
        <f>VLOOKUP(C20,$X$4:$AB$12,5,0)</f>
        <v xml:space="preserve"> ไม่ต้องปรับ</v>
      </c>
      <c r="D21" s="38" t="str">
        <f>VLOOKUP(D20,$X$4:$AB$12,5,0)</f>
        <v xml:space="preserve">ทบทวนการลงทุนอีกครั้ง </v>
      </c>
      <c r="E21" s="38" t="str">
        <f>VLOOKUP(E20,$X$4:$AB$12,5,0)</f>
        <v>ปรับ EBITDA ให้เป็น + และ ทบทวนการลงทุนอีกครั้งควร ลงทุนให้ &lt; 20% EBITDAทำ Feasibility study</v>
      </c>
      <c r="F21" s="38" t="str">
        <f>VLOOKUP(F20,$X$4:$AB$12,5,0)</f>
        <v xml:space="preserve"> ไม่ต้องปรับ</v>
      </c>
      <c r="G21" s="38" t="str">
        <f t="shared" ref="G21:J21" si="21">VLOOKUP(G20,$X$4:$AB$12,5,0)</f>
        <v xml:space="preserve">ทบทวนการลงทุนอีกครั้ง </v>
      </c>
      <c r="H21" s="38" t="str">
        <f t="shared" si="21"/>
        <v xml:space="preserve"> ไม่ต้องปรับ</v>
      </c>
      <c r="I21" s="38" t="str">
        <f t="shared" si="21"/>
        <v xml:space="preserve"> ไม่ต้องปรับ</v>
      </c>
      <c r="J21" s="38" t="str">
        <f t="shared" si="21"/>
        <v xml:space="preserve">ทบทวนการลงทุนอีกครั้ง </v>
      </c>
    </row>
  </sheetData>
  <mergeCells count="2">
    <mergeCell ref="AB2:AB3"/>
    <mergeCell ref="A9:A10"/>
  </mergeCells>
  <conditionalFormatting sqref="D22:D1048576">
    <cfRule type="containsText" dxfId="213" priority="29" operator="containsText" text="เกินดุล">
      <formula>NOT(ISERROR(SEARCH("เกินดุล",D22)))</formula>
    </cfRule>
    <cfRule type="containsText" dxfId="212" priority="30" operator="containsText" text="สมดุล">
      <formula>NOT(ISERROR(SEARCH("สมดุล",D22)))</formula>
    </cfRule>
    <cfRule type="containsText" dxfId="211" priority="31" operator="containsText" text="ขาดดุล">
      <formula>NOT(ISERROR(SEARCH("ขาดดุล",D22)))</formula>
    </cfRule>
    <cfRule type="containsText" dxfId="210" priority="32" operator="containsText" text="สมดุล">
      <formula>NOT(ISERROR(SEARCH("สมดุล",D22)))</formula>
    </cfRule>
  </conditionalFormatting>
  <conditionalFormatting sqref="A5:I5">
    <cfRule type="containsText" dxfId="209" priority="25" operator="containsText" text="เกินดุล">
      <formula>NOT(ISERROR(SEARCH("เกินดุล",A5)))</formula>
    </cfRule>
    <cfRule type="containsText" dxfId="208" priority="26" operator="containsText" text="สมดุล">
      <formula>NOT(ISERROR(SEARCH("สมดุล",A5)))</formula>
    </cfRule>
    <cfRule type="containsText" dxfId="207" priority="27" operator="containsText" text="ขาดดุล">
      <formula>NOT(ISERROR(SEARCH("ขาดดุล",A5)))</formula>
    </cfRule>
    <cfRule type="containsText" dxfId="206" priority="28" operator="containsText" text="สมดุล">
      <formula>NOT(ISERROR(SEARCH("สมดุล",A5)))</formula>
    </cfRule>
  </conditionalFormatting>
  <conditionalFormatting sqref="C9:I9">
    <cfRule type="cellIs" dxfId="205" priority="24" operator="lessThan">
      <formula>0</formula>
    </cfRule>
  </conditionalFormatting>
  <conditionalFormatting sqref="C20:I20">
    <cfRule type="cellIs" dxfId="204" priority="15" operator="equal">
      <formula>8</formula>
    </cfRule>
    <cfRule type="cellIs" dxfId="203" priority="16" operator="equal">
      <formula>7</formula>
    </cfRule>
    <cfRule type="cellIs" dxfId="202" priority="17" operator="equal">
      <formula>6</formula>
    </cfRule>
    <cfRule type="cellIs" dxfId="201" priority="18" operator="equal">
      <formula>5</formula>
    </cfRule>
    <cfRule type="cellIs" dxfId="200" priority="19" operator="equal">
      <formula>4</formula>
    </cfRule>
    <cfRule type="cellIs" dxfId="199" priority="20" operator="equal">
      <formula>3</formula>
    </cfRule>
    <cfRule type="cellIs" dxfId="198" priority="21" operator="equal">
      <formula>2</formula>
    </cfRule>
    <cfRule type="cellIs" dxfId="197" priority="22" operator="equal">
      <formula>1</formula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ntainsText" dxfId="196" priority="11" operator="containsText" text="เกินดุล">
      <formula>NOT(ISERROR(SEARCH("เกินดุล",J5)))</formula>
    </cfRule>
    <cfRule type="containsText" dxfId="195" priority="12" operator="containsText" text="สมดุล">
      <formula>NOT(ISERROR(SEARCH("สมดุล",J5)))</formula>
    </cfRule>
    <cfRule type="containsText" dxfId="194" priority="13" operator="containsText" text="ขาดดุล">
      <formula>NOT(ISERROR(SEARCH("ขาดดุล",J5)))</formula>
    </cfRule>
    <cfRule type="containsText" dxfId="193" priority="14" operator="containsText" text="สมดุล">
      <formula>NOT(ISERROR(SEARCH("สมดุล",J5)))</formula>
    </cfRule>
  </conditionalFormatting>
  <conditionalFormatting sqref="J9">
    <cfRule type="cellIs" dxfId="192" priority="10" operator="lessThan">
      <formula>0</formula>
    </cfRule>
  </conditionalFormatting>
  <conditionalFormatting sqref="J20">
    <cfRule type="cellIs" dxfId="191" priority="1" operator="equal">
      <formula>8</formula>
    </cfRule>
    <cfRule type="cellIs" dxfId="190" priority="2" operator="equal">
      <formula>7</formula>
    </cfRule>
    <cfRule type="cellIs" dxfId="189" priority="3" operator="equal">
      <formula>6</formula>
    </cfRule>
    <cfRule type="cellIs" dxfId="188" priority="4" operator="equal">
      <formula>5</formula>
    </cfRule>
    <cfRule type="cellIs" dxfId="187" priority="5" operator="equal">
      <formula>4</formula>
    </cfRule>
    <cfRule type="cellIs" dxfId="186" priority="6" operator="equal">
      <formula>3</formula>
    </cfRule>
    <cfRule type="cellIs" dxfId="185" priority="7" operator="equal">
      <formula>2</formula>
    </cfRule>
    <cfRule type="cellIs" dxfId="184" priority="8" operator="equal">
      <formula>1</formula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1"/>
  <sheetViews>
    <sheetView workbookViewId="0">
      <pane xSplit="2" topLeftCell="N1" activePane="topRight" state="frozen"/>
      <selection pane="topRight" activeCell="N16" sqref="N16"/>
    </sheetView>
  </sheetViews>
  <sheetFormatPr defaultColWidth="9.125" defaultRowHeight="24" x14ac:dyDescent="0.2"/>
  <cols>
    <col min="1" max="1" width="19.375" style="39" customWidth="1"/>
    <col min="2" max="2" width="56.625" style="40" customWidth="1"/>
    <col min="3" max="3" width="18.375" style="41" customWidth="1"/>
    <col min="4" max="6" width="18.375" style="3" customWidth="1"/>
    <col min="7" max="10" width="18.375" style="4" customWidth="1"/>
    <col min="11" max="11" width="15.75" style="4" bestFit="1" customWidth="1"/>
    <col min="12" max="12" width="14.875" style="4" customWidth="1"/>
    <col min="13" max="13" width="17.75" style="4" bestFit="1" customWidth="1"/>
    <col min="14" max="14" width="22.75" style="4" customWidth="1"/>
    <col min="15" max="15" width="20.25" style="4" customWidth="1"/>
    <col min="16" max="16" width="19.875" style="4" customWidth="1"/>
    <col min="17" max="17" width="23" style="4" customWidth="1"/>
    <col min="18" max="18" width="23.5" style="4" customWidth="1"/>
    <col min="19" max="19" width="52" style="4" customWidth="1"/>
    <col min="20" max="23" width="9.125" style="4"/>
    <col min="24" max="24" width="6.375" style="5" hidden="1" customWidth="1"/>
    <col min="25" max="25" width="11.875" style="5" hidden="1" customWidth="1"/>
    <col min="26" max="26" width="12.375" style="5" hidden="1" customWidth="1"/>
    <col min="27" max="27" width="14" style="5" hidden="1" customWidth="1"/>
    <col min="28" max="28" width="72.375" style="5" hidden="1" customWidth="1"/>
    <col min="29" max="29" width="9.125" style="4" hidden="1" customWidth="1"/>
    <col min="30" max="16384" width="9.125" style="4"/>
  </cols>
  <sheetData>
    <row r="1" spans="1:28" x14ac:dyDescent="0.55000000000000004">
      <c r="A1" s="1" t="s">
        <v>0</v>
      </c>
      <c r="B1" s="2" t="s">
        <v>1</v>
      </c>
      <c r="C1" s="42" t="s">
        <v>77</v>
      </c>
      <c r="D1" s="42" t="s">
        <v>78</v>
      </c>
      <c r="E1" s="42" t="s">
        <v>79</v>
      </c>
      <c r="F1" s="43" t="s">
        <v>80</v>
      </c>
      <c r="G1" s="43" t="s">
        <v>81</v>
      </c>
      <c r="H1" s="43" t="s">
        <v>82</v>
      </c>
      <c r="I1" s="43" t="s">
        <v>83</v>
      </c>
      <c r="J1" s="43" t="s">
        <v>84</v>
      </c>
      <c r="K1" s="42" t="s">
        <v>85</v>
      </c>
      <c r="L1" s="42" t="s">
        <v>86</v>
      </c>
      <c r="M1" s="42" t="s">
        <v>87</v>
      </c>
      <c r="N1" s="43" t="s">
        <v>88</v>
      </c>
      <c r="O1" s="43" t="s">
        <v>89</v>
      </c>
      <c r="P1" s="43" t="s">
        <v>90</v>
      </c>
      <c r="Q1" s="43" t="s">
        <v>91</v>
      </c>
      <c r="R1" s="43" t="s">
        <v>92</v>
      </c>
    </row>
    <row r="2" spans="1:28" x14ac:dyDescent="0.2">
      <c r="A2" s="46" t="s">
        <v>2</v>
      </c>
      <c r="B2" s="7" t="s">
        <v>3</v>
      </c>
      <c r="C2" s="8">
        <f>1504395715.74-25061715.74</f>
        <v>1479334000</v>
      </c>
      <c r="D2" s="8">
        <f>455505572-13335572</f>
        <v>442170000</v>
      </c>
      <c r="E2" s="8">
        <f>111153119-1372000</f>
        <v>109781119</v>
      </c>
      <c r="F2" s="8">
        <f>91358664.54-1280804.87</f>
        <v>90077859.670000002</v>
      </c>
      <c r="G2" s="8">
        <f>86859627.63-3015347.98</f>
        <v>83844279.649999991</v>
      </c>
      <c r="H2" s="8">
        <f>80927823.4-869823.4</f>
        <v>80058000</v>
      </c>
      <c r="I2" s="8">
        <f>210185862.27-8426142.79</f>
        <v>201759719.48000002</v>
      </c>
      <c r="J2" s="8">
        <f>96237800-10939500</f>
        <v>85298300</v>
      </c>
      <c r="K2" s="8">
        <f>95719733.39-1268021.27</f>
        <v>94451712.120000005</v>
      </c>
      <c r="L2" s="8">
        <f>90468117.77-1170117.77</f>
        <v>89298000</v>
      </c>
      <c r="M2" s="8">
        <f>93882510.76-9367580.76</f>
        <v>84514930</v>
      </c>
      <c r="N2" s="8">
        <f>168462175.81-17037500</f>
        <v>151424675.81</v>
      </c>
      <c r="O2" s="8">
        <f>48053064.41-678864.41</f>
        <v>47374200</v>
      </c>
      <c r="P2" s="8">
        <f>113581697.82-1469113.08</f>
        <v>112112584.73999999</v>
      </c>
      <c r="Q2" s="8">
        <f>53393714.05-779233.05</f>
        <v>52614481</v>
      </c>
      <c r="R2" s="8">
        <f>56560734.82-899734.82</f>
        <v>55661000</v>
      </c>
      <c r="X2" s="9"/>
      <c r="Y2" s="10" t="s">
        <v>4</v>
      </c>
      <c r="Z2" s="11" t="s">
        <v>5</v>
      </c>
      <c r="AA2" s="11" t="s">
        <v>6</v>
      </c>
      <c r="AB2" s="47"/>
    </row>
    <row r="3" spans="1:28" ht="48.75" thickBot="1" x14ac:dyDescent="0.25">
      <c r="A3" s="46" t="s">
        <v>7</v>
      </c>
      <c r="B3" s="7" t="s">
        <v>8</v>
      </c>
      <c r="C3" s="8">
        <f>1529125400-340000-103929000</f>
        <v>1424856400</v>
      </c>
      <c r="D3" s="8">
        <f>488150000-100000-47000000</f>
        <v>441050000</v>
      </c>
      <c r="E3" s="8">
        <f>109007271.82-3473400</f>
        <v>105533871.81999999</v>
      </c>
      <c r="F3" s="8">
        <f>91238855.3-7058000</f>
        <v>84180855.299999997</v>
      </c>
      <c r="G3" s="8">
        <f>89297465.18-5964566.97</f>
        <v>83332898.210000008</v>
      </c>
      <c r="H3" s="8">
        <f>80435495-3000000</f>
        <v>77435495</v>
      </c>
      <c r="I3" s="8">
        <f>219756761.04-18566942.68</f>
        <v>201189818.35999998</v>
      </c>
      <c r="J3" s="8">
        <f>87794538.72-2571900</f>
        <v>85222638.719999999</v>
      </c>
      <c r="K3" s="8">
        <f>94096433.73-6134677.27</f>
        <v>87961756.460000008</v>
      </c>
      <c r="L3" s="8">
        <f>90170000-2600000</f>
        <v>87570000</v>
      </c>
      <c r="M3" s="8">
        <f>87827267-5100000</f>
        <v>82727267</v>
      </c>
      <c r="N3" s="8">
        <f>161510587.95-17254383.46</f>
        <v>144256204.48999998</v>
      </c>
      <c r="O3" s="8">
        <f>50267500-2918100</f>
        <v>47349400</v>
      </c>
      <c r="P3" s="8">
        <f>114467105.89-6855441.39</f>
        <v>107611664.5</v>
      </c>
      <c r="Q3" s="8">
        <f>53569473.24-4236573.24</f>
        <v>49332900</v>
      </c>
      <c r="R3" s="8">
        <f>58750000-4200000</f>
        <v>54550000</v>
      </c>
      <c r="X3" s="12"/>
      <c r="Y3" s="12"/>
      <c r="Z3" s="13" t="s">
        <v>9</v>
      </c>
      <c r="AA3" s="12"/>
      <c r="AB3" s="48"/>
    </row>
    <row r="4" spans="1:28" ht="49.5" thickTop="1" thickBot="1" x14ac:dyDescent="0.25">
      <c r="A4" s="46" t="s">
        <v>10</v>
      </c>
      <c r="B4" s="7" t="s">
        <v>11</v>
      </c>
      <c r="C4" s="14">
        <f>SUM(C2-C3)</f>
        <v>54477600</v>
      </c>
      <c r="D4" s="14">
        <f>SUM(D2-D3)</f>
        <v>1120000</v>
      </c>
      <c r="E4" s="14">
        <f>SUM(E2-E3)</f>
        <v>4247247.1800000072</v>
      </c>
      <c r="F4" s="14">
        <f>SUM(F2-F3)</f>
        <v>5897004.3700000048</v>
      </c>
      <c r="G4" s="14">
        <f t="shared" ref="G4:I4" si="0">SUM(G2-G3)</f>
        <v>511381.43999998271</v>
      </c>
      <c r="H4" s="14">
        <f t="shared" si="0"/>
        <v>2622505</v>
      </c>
      <c r="I4" s="14">
        <f t="shared" si="0"/>
        <v>569901.12000003457</v>
      </c>
      <c r="J4" s="14">
        <f>SUM(J2-J3)</f>
        <v>75661.280000001192</v>
      </c>
      <c r="K4" s="14">
        <f t="shared" ref="K4:N4" si="1">SUM(K2-K3)</f>
        <v>6489955.6599999964</v>
      </c>
      <c r="L4" s="14">
        <f t="shared" si="1"/>
        <v>1728000</v>
      </c>
      <c r="M4" s="14">
        <f t="shared" si="1"/>
        <v>1787663</v>
      </c>
      <c r="N4" s="14">
        <f t="shared" si="1"/>
        <v>7168471.3200000226</v>
      </c>
      <c r="O4" s="14">
        <f>SUM(O2-O3)</f>
        <v>24800</v>
      </c>
      <c r="P4" s="14">
        <f t="shared" ref="P4" si="2">SUM(P2-P3)</f>
        <v>4500920.2399999946</v>
      </c>
      <c r="Q4" s="14">
        <f>SUM(Q2-Q3)</f>
        <v>3281581</v>
      </c>
      <c r="R4" s="14">
        <f t="shared" ref="R4" si="3">SUM(R2-R3)</f>
        <v>1111000</v>
      </c>
      <c r="X4" s="15">
        <v>1</v>
      </c>
      <c r="Y4" s="15" t="s">
        <v>12</v>
      </c>
      <c r="Z4" s="15" t="s">
        <v>13</v>
      </c>
      <c r="AA4" s="15" t="s">
        <v>14</v>
      </c>
      <c r="AB4" s="16" t="s">
        <v>15</v>
      </c>
    </row>
    <row r="5" spans="1:28" ht="24.75" thickBot="1" x14ac:dyDescent="0.25">
      <c r="A5" s="46" t="s">
        <v>16</v>
      </c>
      <c r="B5" s="7" t="s">
        <v>17</v>
      </c>
      <c r="C5" s="17" t="str">
        <f>IF(C4&gt;0,"เกินดุล",IF(C4=0,"สมดุล","ขาดดุล"))</f>
        <v>เกินดุล</v>
      </c>
      <c r="D5" s="17" t="str">
        <f>IF(D4&gt;0,"เกินดุล",IF(D4=0,"สมดุล","ขาดดุล"))</f>
        <v>เกินดุล</v>
      </c>
      <c r="E5" s="17" t="str">
        <f>IF(E4&gt;0,"เกินดุล",IF(E4=0,"สมดุล","ขาดดุล"))</f>
        <v>เกินดุล</v>
      </c>
      <c r="F5" s="17" t="str">
        <f>IF(F4&gt;0,"เกินดุล",IF(F4=0,"สมดุล","ขาดดุล"))</f>
        <v>เกินดุล</v>
      </c>
      <c r="G5" s="17" t="str">
        <f t="shared" ref="G5:I5" si="4">IF(G4&gt;0,"เกินดุล",IF(G4=0,"สมดุล","ขาดดุล"))</f>
        <v>เกินดุล</v>
      </c>
      <c r="H5" s="17" t="str">
        <f t="shared" si="4"/>
        <v>เกินดุล</v>
      </c>
      <c r="I5" s="17" t="str">
        <f t="shared" si="4"/>
        <v>เกินดุล</v>
      </c>
      <c r="J5" s="17" t="str">
        <f>IF(J4&gt;0,"เกินดุล",IF(J4=0,"สมดุล","ขาดดุล"))</f>
        <v>เกินดุล</v>
      </c>
      <c r="K5" s="17" t="str">
        <f t="shared" ref="K5:N5" si="5">IF(K4&gt;0,"เกินดุล",IF(K4=0,"สมดุล","ขาดดุล"))</f>
        <v>เกินดุล</v>
      </c>
      <c r="L5" s="17" t="str">
        <f t="shared" si="5"/>
        <v>เกินดุล</v>
      </c>
      <c r="M5" s="17" t="str">
        <f t="shared" si="5"/>
        <v>เกินดุล</v>
      </c>
      <c r="N5" s="17" t="str">
        <f t="shared" si="5"/>
        <v>เกินดุล</v>
      </c>
      <c r="O5" s="17" t="str">
        <f>IF(O4&gt;0,"เกินดุล",IF(O4=0,"สมดุล","ขาดดุล"))</f>
        <v>เกินดุล</v>
      </c>
      <c r="P5" s="17" t="str">
        <f t="shared" ref="P5" si="6">IF(P4&gt;0,"เกินดุล",IF(P4=0,"สมดุล","ขาดดุล"))</f>
        <v>เกินดุล</v>
      </c>
      <c r="Q5" s="17" t="str">
        <f>IF(Q4&gt;0,"เกินดุล",IF(Q4=0,"สมดุล","ขาดดุล"))</f>
        <v>เกินดุล</v>
      </c>
      <c r="R5" s="17" t="str">
        <f t="shared" ref="R5" si="7">IF(R4&gt;0,"เกินดุล",IF(R4=0,"สมดุล","ขาดดุล"))</f>
        <v>เกินดุล</v>
      </c>
      <c r="X5" s="18">
        <v>2</v>
      </c>
      <c r="Y5" s="18" t="s">
        <v>12</v>
      </c>
      <c r="Z5" s="18" t="s">
        <v>13</v>
      </c>
      <c r="AA5" s="19" t="s">
        <v>18</v>
      </c>
      <c r="AB5" s="20" t="s">
        <v>19</v>
      </c>
    </row>
    <row r="6" spans="1:28" ht="24.75" thickBot="1" x14ac:dyDescent="0.25">
      <c r="A6" s="46" t="s">
        <v>20</v>
      </c>
      <c r="B6" s="7" t="s">
        <v>21</v>
      </c>
      <c r="C6" s="14">
        <f>IF(C4&lt;=0,0,ROUNDUP((C4*20%),2))</f>
        <v>10895520</v>
      </c>
      <c r="D6" s="14">
        <f>IF(D4&lt;=0,0,ROUNDUP((D4*20%),2))</f>
        <v>224000</v>
      </c>
      <c r="E6" s="14">
        <f>IF(E4&lt;=0,0,ROUNDUP((E4*20%),2))</f>
        <v>849449.44000000006</v>
      </c>
      <c r="F6" s="14">
        <f>IF(F4&lt;=0,0,ROUNDUP((F4*20%),2))</f>
        <v>1179400.8800000001</v>
      </c>
      <c r="G6" s="14">
        <f t="shared" ref="G6:I6" si="8">IF(G4&lt;=0,0,ROUNDUP((G4*20%),2))</f>
        <v>102276.29</v>
      </c>
      <c r="H6" s="14">
        <f t="shared" si="8"/>
        <v>524501</v>
      </c>
      <c r="I6" s="14">
        <f t="shared" si="8"/>
        <v>113980.23</v>
      </c>
      <c r="J6" s="14">
        <f>IF(J4&lt;=0,0,ROUNDUP((J4*20%),2))</f>
        <v>15132.26</v>
      </c>
      <c r="K6" s="14">
        <f t="shared" ref="K6:N6" si="9">IF(K4&lt;=0,0,ROUNDUP((K4*20%),2))</f>
        <v>1297991.1399999999</v>
      </c>
      <c r="L6" s="14">
        <f t="shared" si="9"/>
        <v>345600</v>
      </c>
      <c r="M6" s="14">
        <f t="shared" si="9"/>
        <v>357532.6</v>
      </c>
      <c r="N6" s="14">
        <f t="shared" si="9"/>
        <v>1433694.27</v>
      </c>
      <c r="O6" s="14">
        <f>IF(O4&lt;=0,0,ROUNDUP((O4*20%),2))</f>
        <v>4960</v>
      </c>
      <c r="P6" s="14">
        <f t="shared" ref="P6" si="10">IF(P4&lt;=0,0,ROUNDUP((P4*20%),2))</f>
        <v>900184.05</v>
      </c>
      <c r="Q6" s="14">
        <f>IF(Q4&lt;=0,0,ROUNDUP((Q4*20%),2))</f>
        <v>656316.19999999995</v>
      </c>
      <c r="R6" s="14">
        <f t="shared" ref="R6" si="11">IF(R4&lt;=0,0,ROUNDUP((R4*20%),2))</f>
        <v>222200</v>
      </c>
      <c r="X6" s="21">
        <v>3</v>
      </c>
      <c r="Y6" s="21" t="s">
        <v>12</v>
      </c>
      <c r="Z6" s="21" t="s">
        <v>22</v>
      </c>
      <c r="AA6" s="21" t="s">
        <v>14</v>
      </c>
      <c r="AB6" s="22" t="s">
        <v>23</v>
      </c>
    </row>
    <row r="7" spans="1:28" ht="24.75" thickBot="1" x14ac:dyDescent="0.25">
      <c r="A7" s="46" t="s">
        <v>24</v>
      </c>
      <c r="B7" s="7" t="s">
        <v>25</v>
      </c>
      <c r="C7" s="14">
        <v>10803550</v>
      </c>
      <c r="D7" s="14">
        <v>204000</v>
      </c>
      <c r="E7" s="14">
        <v>580000</v>
      </c>
      <c r="F7" s="14">
        <v>0</v>
      </c>
      <c r="G7" s="14">
        <v>102276.28</v>
      </c>
      <c r="H7" s="14">
        <v>411000</v>
      </c>
      <c r="I7" s="14">
        <v>0</v>
      </c>
      <c r="J7" s="14">
        <v>0</v>
      </c>
      <c r="K7" s="14">
        <v>1235000</v>
      </c>
      <c r="L7" s="14"/>
      <c r="M7" s="14">
        <v>0</v>
      </c>
      <c r="N7" s="14">
        <v>7868494.2000000002</v>
      </c>
      <c r="O7" s="14">
        <v>0</v>
      </c>
      <c r="P7" s="14">
        <v>10500</v>
      </c>
      <c r="Q7" s="14">
        <v>323500</v>
      </c>
      <c r="R7" s="14">
        <v>0</v>
      </c>
      <c r="X7" s="23">
        <v>4</v>
      </c>
      <c r="Y7" s="23" t="s">
        <v>12</v>
      </c>
      <c r="Z7" s="23" t="s">
        <v>22</v>
      </c>
      <c r="AA7" s="24" t="s">
        <v>18</v>
      </c>
      <c r="AB7" s="25" t="s">
        <v>26</v>
      </c>
    </row>
    <row r="8" spans="1:28" ht="24.75" thickBot="1" x14ac:dyDescent="0.25">
      <c r="A8" s="46" t="s">
        <v>27</v>
      </c>
      <c r="B8" s="7" t="s">
        <v>28</v>
      </c>
      <c r="C8" s="14">
        <f>IF(C4=0,0,(C7/C4)*100)</f>
        <v>19.831178319162373</v>
      </c>
      <c r="D8" s="14">
        <f>IF(D4=0,0,(D7/D4)*100)</f>
        <v>18.214285714285712</v>
      </c>
      <c r="E8" s="14">
        <f>IF(E4=0,0,(E7/E4)*100)</f>
        <v>13.655904057837271</v>
      </c>
      <c r="F8" s="14">
        <f>IF(F4=0,0,(F7/F4)*100)</f>
        <v>0</v>
      </c>
      <c r="G8" s="14">
        <f t="shared" ref="G8:I8" si="12">IF(G4=0,0,(G7/G4)*100)</f>
        <v>19.999998435610696</v>
      </c>
      <c r="H8" s="14">
        <f t="shared" si="12"/>
        <v>15.67203875683745</v>
      </c>
      <c r="I8" s="14">
        <f t="shared" si="12"/>
        <v>0</v>
      </c>
      <c r="J8" s="14">
        <f>IF(J4=0,0,(J7/J4)*100)</f>
        <v>0</v>
      </c>
      <c r="K8" s="14">
        <f>IF(K4=0,0,(K7/K4)*100)</f>
        <v>19.029405818775665</v>
      </c>
      <c r="L8" s="14">
        <f t="shared" ref="L8:N8" si="13">IF(L4=0,0,(L7/L4)*100)</f>
        <v>0</v>
      </c>
      <c r="M8" s="14">
        <f t="shared" si="13"/>
        <v>0</v>
      </c>
      <c r="N8" s="14">
        <f t="shared" si="13"/>
        <v>109.76530209511914</v>
      </c>
      <c r="O8" s="14">
        <f>IF(O4=0,0,(O7/O4)*100)</f>
        <v>0</v>
      </c>
      <c r="P8" s="14">
        <f t="shared" ref="P8" si="14">IF(P4=0,0,(P7/P4)*100)</f>
        <v>0.23328562694103666</v>
      </c>
      <c r="Q8" s="14">
        <f>IF(Q4=0,0,(Q7/Q4)*100)</f>
        <v>9.8580531761976928</v>
      </c>
      <c r="R8" s="14">
        <f t="shared" ref="R8" si="15">IF(R4=0,0,(R7/R4)*100)</f>
        <v>0</v>
      </c>
      <c r="X8" s="26">
        <v>5</v>
      </c>
      <c r="Y8" s="27" t="s">
        <v>18</v>
      </c>
      <c r="Z8" s="27" t="s">
        <v>29</v>
      </c>
      <c r="AA8" s="26" t="s">
        <v>14</v>
      </c>
      <c r="AB8" s="28" t="s">
        <v>30</v>
      </c>
    </row>
    <row r="9" spans="1:28" ht="24.75" thickBot="1" x14ac:dyDescent="0.25">
      <c r="A9" s="49" t="s">
        <v>31</v>
      </c>
      <c r="B9" s="7" t="s">
        <v>32</v>
      </c>
      <c r="C9" s="14">
        <f>C6-C7</f>
        <v>91970</v>
      </c>
      <c r="D9" s="14">
        <f>D6-D7</f>
        <v>20000</v>
      </c>
      <c r="E9" s="14">
        <f>E6-E7</f>
        <v>269449.44000000006</v>
      </c>
      <c r="F9" s="14">
        <f>F6-F7</f>
        <v>1179400.8800000001</v>
      </c>
      <c r="G9" s="14">
        <f t="shared" ref="G9:I9" si="16">G6-G7</f>
        <v>9.9999999947613105E-3</v>
      </c>
      <c r="H9" s="14">
        <f t="shared" si="16"/>
        <v>113501</v>
      </c>
      <c r="I9" s="14">
        <f t="shared" si="16"/>
        <v>113980.23</v>
      </c>
      <c r="J9" s="14">
        <f>J6-J7</f>
        <v>15132.26</v>
      </c>
      <c r="K9" s="14">
        <f t="shared" ref="K9:N9" si="17">K6-K7</f>
        <v>62991.139999999898</v>
      </c>
      <c r="L9" s="14">
        <f t="shared" si="17"/>
        <v>345600</v>
      </c>
      <c r="M9" s="14">
        <f t="shared" si="17"/>
        <v>357532.6</v>
      </c>
      <c r="N9" s="14">
        <f t="shared" si="17"/>
        <v>-6434799.9299999997</v>
      </c>
      <c r="O9" s="14">
        <f>O6-O7</f>
        <v>4960</v>
      </c>
      <c r="P9" s="14">
        <f t="shared" ref="P9" si="18">P6-P7</f>
        <v>889684.05</v>
      </c>
      <c r="Q9" s="14">
        <f>Q6-Q7</f>
        <v>332816.19999999995</v>
      </c>
      <c r="R9" s="14">
        <f t="shared" ref="R9" si="19">R6-R7</f>
        <v>222200</v>
      </c>
      <c r="X9" s="23">
        <v>6</v>
      </c>
      <c r="Y9" s="24" t="s">
        <v>18</v>
      </c>
      <c r="Z9" s="24" t="s">
        <v>29</v>
      </c>
      <c r="AA9" s="24" t="s">
        <v>33</v>
      </c>
      <c r="AB9" s="25" t="s">
        <v>34</v>
      </c>
    </row>
    <row r="10" spans="1:28" ht="24.75" thickBot="1" x14ac:dyDescent="0.25">
      <c r="A10" s="49"/>
      <c r="B10" s="7" t="s">
        <v>35</v>
      </c>
      <c r="C10" s="29" t="str">
        <f>IF(C9&gt;=0,"ไม่เกิน","เกิน")</f>
        <v>ไม่เกิน</v>
      </c>
      <c r="D10" s="29" t="str">
        <f>IF(D9&gt;=0,"ไม่เกิน","เกิน")</f>
        <v>ไม่เกิน</v>
      </c>
      <c r="E10" s="29" t="str">
        <f>IF(E9&gt;=0,"ไม่เกิน","เกิน")</f>
        <v>ไม่เกิน</v>
      </c>
      <c r="F10" s="29" t="str">
        <f>IF(F9&gt;=0,"ไม่เกิน","เกิน")</f>
        <v>ไม่เกิน</v>
      </c>
      <c r="G10" s="29" t="str">
        <f t="shared" ref="G10:I10" si="20">IF(G9&gt;=0,"ไม่เกิน","เกิน")</f>
        <v>ไม่เกิน</v>
      </c>
      <c r="H10" s="29" t="str">
        <f t="shared" si="20"/>
        <v>ไม่เกิน</v>
      </c>
      <c r="I10" s="29" t="str">
        <f t="shared" si="20"/>
        <v>ไม่เกิน</v>
      </c>
      <c r="J10" s="29" t="str">
        <f>IF(J9&gt;=0,"ไม่เกิน","เกิน")</f>
        <v>ไม่เกิน</v>
      </c>
      <c r="K10" s="29" t="str">
        <f t="shared" ref="K10:N10" si="21">IF(K9&gt;=0,"ไม่เกิน","เกิน")</f>
        <v>ไม่เกิน</v>
      </c>
      <c r="L10" s="29" t="str">
        <f t="shared" si="21"/>
        <v>ไม่เกิน</v>
      </c>
      <c r="M10" s="29" t="str">
        <f t="shared" si="21"/>
        <v>ไม่เกิน</v>
      </c>
      <c r="N10" s="29" t="str">
        <f t="shared" si="21"/>
        <v>เกิน</v>
      </c>
      <c r="O10" s="29" t="str">
        <f>IF(O9&gt;=0,"ไม่เกิน","เกิน")</f>
        <v>ไม่เกิน</v>
      </c>
      <c r="P10" s="29" t="str">
        <f t="shared" ref="P10" si="22">IF(P9&gt;=0,"ไม่เกิน","เกิน")</f>
        <v>ไม่เกิน</v>
      </c>
      <c r="Q10" s="29" t="str">
        <f>IF(Q9&gt;=0,"ไม่เกิน","เกิน")</f>
        <v>ไม่เกิน</v>
      </c>
      <c r="R10" s="29" t="str">
        <f t="shared" ref="R10" si="23">IF(R9&gt;=0,"ไม่เกิน","เกิน")</f>
        <v>ไม่เกิน</v>
      </c>
      <c r="X10" s="23"/>
      <c r="Y10" s="24"/>
      <c r="Z10" s="24"/>
      <c r="AA10" s="24"/>
      <c r="AB10" s="25"/>
    </row>
    <row r="11" spans="1:28" ht="24.75" thickBot="1" x14ac:dyDescent="0.25">
      <c r="A11" s="46" t="s">
        <v>36</v>
      </c>
      <c r="B11" s="7" t="s">
        <v>37</v>
      </c>
      <c r="C11" s="14">
        <v>475215553.07999998</v>
      </c>
      <c r="D11" s="14">
        <v>-61339608.990000002</v>
      </c>
      <c r="E11" s="14">
        <v>3244498.12</v>
      </c>
      <c r="F11" s="14">
        <v>2936085.75</v>
      </c>
      <c r="G11" s="14">
        <v>11131338.800000001</v>
      </c>
      <c r="H11" s="14">
        <v>1372567.42</v>
      </c>
      <c r="I11" s="14">
        <v>13100074.439999999</v>
      </c>
      <c r="J11" s="14">
        <v>5118478.26</v>
      </c>
      <c r="K11" s="14">
        <v>4325399.09</v>
      </c>
      <c r="L11" s="14">
        <v>10438768.75</v>
      </c>
      <c r="M11" s="14">
        <v>11346950.859999999</v>
      </c>
      <c r="N11" s="14">
        <v>34618859.469999999</v>
      </c>
      <c r="O11" s="14">
        <v>2362095.58</v>
      </c>
      <c r="P11" s="14">
        <v>185174.54</v>
      </c>
      <c r="Q11" s="14">
        <v>-4461139.75</v>
      </c>
      <c r="R11" s="14">
        <v>4946834.05</v>
      </c>
      <c r="X11" s="21">
        <v>7</v>
      </c>
      <c r="Y11" s="30" t="s">
        <v>18</v>
      </c>
      <c r="Z11" s="30" t="s">
        <v>33</v>
      </c>
      <c r="AA11" s="21" t="s">
        <v>14</v>
      </c>
      <c r="AB11" s="22" t="s">
        <v>38</v>
      </c>
    </row>
    <row r="12" spans="1:28" x14ac:dyDescent="0.2">
      <c r="A12" s="46" t="s">
        <v>39</v>
      </c>
      <c r="B12" s="7" t="s">
        <v>40</v>
      </c>
      <c r="C12" s="14">
        <f>366439667.3-259548589.65</f>
        <v>106891077.65000001</v>
      </c>
      <c r="D12" s="14">
        <f>69251442.89-187783105.58</f>
        <v>-118531662.69000001</v>
      </c>
      <c r="E12" s="14">
        <f>15633507.67-23167453.06</f>
        <v>-7533945.3899999987</v>
      </c>
      <c r="F12" s="14">
        <f>7504425.14-13046645.57</f>
        <v>-5542220.4300000006</v>
      </c>
      <c r="G12" s="14">
        <f>21521036.49-16962565.55</f>
        <v>4558470.9399999976</v>
      </c>
      <c r="H12" s="14">
        <f>11231961.86-16715377.39</f>
        <v>-5483415.5300000012</v>
      </c>
      <c r="I12" s="14">
        <f>18981060.12-36034803.32</f>
        <v>-17053743.199999999</v>
      </c>
      <c r="J12" s="14">
        <f>18549570.35-24544173.58</f>
        <v>-5994603.2299999967</v>
      </c>
      <c r="K12" s="14">
        <f>24571292.69-27831212.37</f>
        <v>-3259919.6799999997</v>
      </c>
      <c r="L12" s="14">
        <f>19430881.28-19536754.02</f>
        <v>-105872.73999999836</v>
      </c>
      <c r="M12" s="14">
        <f>13927676.67-10786396.09</f>
        <v>3141280.58</v>
      </c>
      <c r="N12" s="14">
        <f>49068018.46-27434443.09</f>
        <v>21633575.370000001</v>
      </c>
      <c r="O12" s="14">
        <f>4695721.65-5320233.41</f>
        <v>-624511.75999999978</v>
      </c>
      <c r="P12" s="14">
        <f>6215423.27-17514696.95</f>
        <v>-11299273.68</v>
      </c>
      <c r="Q12" s="14">
        <f>3652406.55-13544343.54</f>
        <v>-9891936.9899999984</v>
      </c>
      <c r="R12" s="14">
        <f>7965190.06-7028660.21</f>
        <v>936529.84999999963</v>
      </c>
      <c r="X12" s="23">
        <v>8</v>
      </c>
      <c r="Y12" s="24" t="s">
        <v>18</v>
      </c>
      <c r="Z12" s="24" t="s">
        <v>33</v>
      </c>
      <c r="AA12" s="24" t="s">
        <v>18</v>
      </c>
      <c r="AB12" s="25" t="s">
        <v>41</v>
      </c>
    </row>
    <row r="13" spans="1:28" x14ac:dyDescent="0.2">
      <c r="A13" s="46" t="s">
        <v>42</v>
      </c>
      <c r="B13" s="7" t="s">
        <v>43</v>
      </c>
      <c r="C13" s="14">
        <f>SUM(C3/12)</f>
        <v>118738033.33333333</v>
      </c>
      <c r="D13" s="14">
        <f>SUM(D3/12)</f>
        <v>36754166.666666664</v>
      </c>
      <c r="E13" s="14">
        <f>SUM(E3/12)</f>
        <v>8794489.3183333334</v>
      </c>
      <c r="F13" s="14">
        <f>SUM(F3/12)</f>
        <v>7015071.2749999994</v>
      </c>
      <c r="G13" s="14">
        <f t="shared" ref="G13:I13" si="24">SUM(G3/12)</f>
        <v>6944408.1841666671</v>
      </c>
      <c r="H13" s="14">
        <f t="shared" si="24"/>
        <v>6452957.916666667</v>
      </c>
      <c r="I13" s="14">
        <f t="shared" si="24"/>
        <v>16765818.196666665</v>
      </c>
      <c r="J13" s="14">
        <f>SUM(J3/12)</f>
        <v>7101886.5599999996</v>
      </c>
      <c r="K13" s="14">
        <f t="shared" ref="K13:N13" si="25">SUM(K3/12)</f>
        <v>7330146.3716666671</v>
      </c>
      <c r="L13" s="14">
        <f t="shared" si="25"/>
        <v>7297500</v>
      </c>
      <c r="M13" s="14">
        <f t="shared" si="25"/>
        <v>6893938.916666667</v>
      </c>
      <c r="N13" s="14">
        <f t="shared" si="25"/>
        <v>12021350.374166666</v>
      </c>
      <c r="O13" s="14">
        <f>SUM(O3/12)</f>
        <v>3945783.3333333335</v>
      </c>
      <c r="P13" s="14">
        <f t="shared" ref="P13" si="26">SUM(P3/12)</f>
        <v>8967638.708333334</v>
      </c>
      <c r="Q13" s="14">
        <f>SUM(Q3/12)</f>
        <v>4111075</v>
      </c>
      <c r="R13" s="14">
        <f t="shared" ref="R13" si="27">SUM(R3/12)</f>
        <v>4545833.333333333</v>
      </c>
    </row>
    <row r="14" spans="1:28" x14ac:dyDescent="0.2">
      <c r="A14" s="46" t="s">
        <v>44</v>
      </c>
      <c r="B14" s="7" t="s">
        <v>45</v>
      </c>
      <c r="C14" s="14">
        <f>IFERROR(SUM(C11/C13),0)</f>
        <v>4.0022184951129107</v>
      </c>
      <c r="D14" s="14">
        <f>IFERROR(SUM(D11/D13),0)</f>
        <v>-1.6689157870536222</v>
      </c>
      <c r="E14" s="14">
        <f>IFERROR(SUM(E11/E13),0)</f>
        <v>0.36892399348719357</v>
      </c>
      <c r="F14" s="14">
        <f>IFERROR(SUM(F11/F13),0)</f>
        <v>0.41853968903544753</v>
      </c>
      <c r="G14" s="14">
        <f t="shared" ref="G14:I14" si="28">IFERROR(SUM(G11/G13),0)</f>
        <v>1.602921156820762</v>
      </c>
      <c r="H14" s="14">
        <f t="shared" si="28"/>
        <v>0.21270360627254981</v>
      </c>
      <c r="I14" s="14">
        <f t="shared" si="28"/>
        <v>0.78135610718983706</v>
      </c>
      <c r="J14" s="14">
        <f>IFERROR(SUM(J11/J13),0)</f>
        <v>0.72072092629989859</v>
      </c>
      <c r="K14" s="14">
        <f t="shared" ref="K14:N14" si="29">IFERROR(SUM(K11/K13),0)</f>
        <v>0.59008359051587767</v>
      </c>
      <c r="L14" s="14">
        <f t="shared" si="29"/>
        <v>1.4304582048646797</v>
      </c>
      <c r="M14" s="14">
        <f t="shared" si="29"/>
        <v>1.6459314474875615</v>
      </c>
      <c r="N14" s="14">
        <f t="shared" si="29"/>
        <v>2.8797812552235689</v>
      </c>
      <c r="O14" s="14">
        <f>IFERROR(SUM(O11/O13),0)</f>
        <v>0.59863793332122472</v>
      </c>
      <c r="P14" s="14">
        <f t="shared" ref="P14" si="30">IFERROR(SUM(P11/P13),0)</f>
        <v>2.0649197188098507E-2</v>
      </c>
      <c r="Q14" s="14">
        <f>IFERROR(SUM(Q11/Q13),0)</f>
        <v>-1.085151633088669</v>
      </c>
      <c r="R14" s="14">
        <f t="shared" ref="R14" si="31">IFERROR(SUM(R11/R13),0)</f>
        <v>1.0882128065994501</v>
      </c>
    </row>
    <row r="15" spans="1:28" x14ac:dyDescent="0.2">
      <c r="A15" s="31" t="s">
        <v>46</v>
      </c>
      <c r="B15" s="7" t="s">
        <v>47</v>
      </c>
      <c r="C15" s="32">
        <f>IF(AND(C11&lt;0,C9&lt;0),(C9+C11),(C11-C9))</f>
        <v>475123583.07999998</v>
      </c>
      <c r="D15" s="32">
        <f>IF(AND(D11&lt;0,D9&lt;0),(D9+D11),(D11-D9))</f>
        <v>-61359608.990000002</v>
      </c>
      <c r="E15" s="32">
        <f>IF(AND(E11&lt;0,E9&lt;0),(E9+E11),(E11-E9))</f>
        <v>2975048.68</v>
      </c>
      <c r="F15" s="32">
        <f>IF(AND(F11&lt;0,F9&lt;0),(F9+F11),(F11-F9))</f>
        <v>1756684.8699999999</v>
      </c>
      <c r="G15" s="32">
        <f t="shared" ref="G15:I15" si="32">IF(AND(G11&lt;0,G9&lt;0),(G9+G11),(G11-G9))</f>
        <v>11131338.790000001</v>
      </c>
      <c r="H15" s="32">
        <f t="shared" si="32"/>
        <v>1259066.42</v>
      </c>
      <c r="I15" s="32">
        <f t="shared" si="32"/>
        <v>12986094.209999999</v>
      </c>
      <c r="J15" s="32">
        <f>IF(AND(J11&lt;0,J9&lt;0),(J9+J11),(J11-J9))</f>
        <v>5103346</v>
      </c>
      <c r="K15" s="32">
        <f t="shared" ref="K15:N15" si="33">IF(AND(K11&lt;0,K9&lt;0),(K9+K11),(K11-K9))</f>
        <v>4262407.95</v>
      </c>
      <c r="L15" s="32">
        <f t="shared" si="33"/>
        <v>10093168.75</v>
      </c>
      <c r="M15" s="32">
        <f t="shared" si="33"/>
        <v>10989418.26</v>
      </c>
      <c r="N15" s="32">
        <f t="shared" si="33"/>
        <v>41053659.399999999</v>
      </c>
      <c r="O15" s="32">
        <f>IF(AND(O11&lt;0,O9&lt;0),(O9+O11),(O11-O9))</f>
        <v>2357135.58</v>
      </c>
      <c r="P15" s="32">
        <f t="shared" ref="P15" si="34">IF(AND(P11&lt;0,P9&lt;0),(P9+P11),(P11-P9))</f>
        <v>-704509.51</v>
      </c>
      <c r="Q15" s="32">
        <f>IF(AND(Q11&lt;0,Q9&lt;0),(Q9+Q11),(Q11-Q9))</f>
        <v>-4793955.95</v>
      </c>
      <c r="R15" s="32">
        <f t="shared" ref="R15" si="35">IF(AND(R11&lt;0,R9&lt;0),(R9+R11),(R11-R9))</f>
        <v>4724634.05</v>
      </c>
    </row>
    <row r="16" spans="1:28" ht="48" x14ac:dyDescent="0.2">
      <c r="A16" s="46" t="s">
        <v>48</v>
      </c>
      <c r="B16" s="7" t="s">
        <v>49</v>
      </c>
      <c r="C16" s="14">
        <f>IFERROR(SUM(C15/C13),0)</f>
        <v>4.0014439328482503</v>
      </c>
      <c r="D16" s="14">
        <f>IFERROR(SUM(D15/D13),0)</f>
        <v>-1.6694599430450063</v>
      </c>
      <c r="E16" s="14">
        <f>IFERROR(SUM(E15/E13),0)</f>
        <v>0.33828555272653504</v>
      </c>
      <c r="F16" s="14">
        <f>IFERROR(SUM(F15/F13),0)</f>
        <v>0.25041582631674686</v>
      </c>
      <c r="G16" s="14">
        <f t="shared" ref="G16:I16" si="36">IFERROR(SUM(G15/G13),0)</f>
        <v>1.6029211553807545</v>
      </c>
      <c r="H16" s="14">
        <f t="shared" si="36"/>
        <v>0.19511461817348746</v>
      </c>
      <c r="I16" s="14">
        <f t="shared" si="36"/>
        <v>0.77455773751512225</v>
      </c>
      <c r="J16" s="14">
        <f>IFERROR(SUM(J15/J13),0)</f>
        <v>0.71859018823865872</v>
      </c>
      <c r="K16" s="14">
        <f t="shared" ref="K16:N16" si="37">IFERROR(SUM(K15/K13),0)</f>
        <v>0.5814901550227638</v>
      </c>
      <c r="L16" s="14">
        <f t="shared" si="37"/>
        <v>1.3830995203836931</v>
      </c>
      <c r="M16" s="14">
        <f t="shared" si="37"/>
        <v>1.5940695722487725</v>
      </c>
      <c r="N16" s="14">
        <f t="shared" si="37"/>
        <v>3.4150622119976175</v>
      </c>
      <c r="O16" s="14">
        <f>IFERROR(SUM(O15/O13),0)</f>
        <v>0.59738089521725724</v>
      </c>
      <c r="P16" s="14">
        <f t="shared" ref="P16" si="38">IFERROR(SUM(P15/P13),0)</f>
        <v>-7.8561317300319233E-2</v>
      </c>
      <c r="Q16" s="14">
        <f>IFERROR(SUM(Q15/Q13),0)</f>
        <v>-1.1661076360805873</v>
      </c>
      <c r="R16" s="14">
        <f t="shared" ref="R16" si="39">IFERROR(SUM(R15/R13),0)</f>
        <v>1.0393328799266728</v>
      </c>
    </row>
    <row r="17" spans="1:18" s="4" customFormat="1" ht="48" x14ac:dyDescent="0.2">
      <c r="A17" s="46" t="s">
        <v>50</v>
      </c>
      <c r="B17" s="7" t="s">
        <v>51</v>
      </c>
      <c r="C17" s="33" t="str">
        <f>IF(C4&gt;=0, "Normal", "Risk")</f>
        <v>Normal</v>
      </c>
      <c r="D17" s="33" t="str">
        <f>IF(D4&gt;=0, "Normal", "Risk")</f>
        <v>Normal</v>
      </c>
      <c r="E17" s="33" t="str">
        <f>IF(E4&gt;=0, "Normal", "Risk")</f>
        <v>Normal</v>
      </c>
      <c r="F17" s="33" t="str">
        <f>IF(F4&gt;=0, "Normal", "Risk")</f>
        <v>Normal</v>
      </c>
      <c r="G17" s="33" t="str">
        <f t="shared" ref="G17:I17" si="40">IF(G4&gt;=0, "Normal", "Risk")</f>
        <v>Normal</v>
      </c>
      <c r="H17" s="33" t="str">
        <f t="shared" si="40"/>
        <v>Normal</v>
      </c>
      <c r="I17" s="33" t="str">
        <f t="shared" si="40"/>
        <v>Normal</v>
      </c>
      <c r="J17" s="33" t="str">
        <f>IF(J4&gt;=0, "Normal", "Risk")</f>
        <v>Normal</v>
      </c>
      <c r="K17" s="33" t="str">
        <f t="shared" ref="K17:N17" si="41">IF(K4&gt;=0, "Normal", "Risk")</f>
        <v>Normal</v>
      </c>
      <c r="L17" s="33" t="str">
        <f t="shared" si="41"/>
        <v>Normal</v>
      </c>
      <c r="M17" s="33" t="str">
        <f t="shared" si="41"/>
        <v>Normal</v>
      </c>
      <c r="N17" s="33" t="str">
        <f t="shared" si="41"/>
        <v>Normal</v>
      </c>
      <c r="O17" s="33" t="str">
        <f>IF(O4&gt;=0, "Normal", "Risk")</f>
        <v>Normal</v>
      </c>
      <c r="P17" s="33" t="str">
        <f t="shared" ref="P17" si="42">IF(P4&gt;=0, "Normal", "Risk")</f>
        <v>Normal</v>
      </c>
      <c r="Q17" s="33" t="str">
        <f>IF(Q4&gt;=0, "Normal", "Risk")</f>
        <v>Normal</v>
      </c>
      <c r="R17" s="33" t="str">
        <f t="shared" ref="R17" si="43">IF(R4&gt;=0, "Normal", "Risk")</f>
        <v>Normal</v>
      </c>
    </row>
    <row r="18" spans="1:18" s="4" customFormat="1" ht="48" x14ac:dyDescent="0.2">
      <c r="A18" s="46" t="s">
        <v>52</v>
      </c>
      <c r="B18" s="7" t="s">
        <v>53</v>
      </c>
      <c r="C18" s="33" t="str">
        <f>IF(C9&gt;=0, "Normal", "Risk")</f>
        <v>Normal</v>
      </c>
      <c r="D18" s="33" t="str">
        <f>IF(D9&gt;=0, "Normal", "Risk")</f>
        <v>Normal</v>
      </c>
      <c r="E18" s="33" t="str">
        <f>IF(E9&gt;=0, "Normal", "Risk")</f>
        <v>Normal</v>
      </c>
      <c r="F18" s="33" t="str">
        <f>IF(F9&gt;=0, "Normal", "Risk")</f>
        <v>Normal</v>
      </c>
      <c r="G18" s="33" t="str">
        <f t="shared" ref="G18:I18" si="44">IF(G9&gt;=0, "Normal", "Risk")</f>
        <v>Normal</v>
      </c>
      <c r="H18" s="33" t="str">
        <f t="shared" si="44"/>
        <v>Normal</v>
      </c>
      <c r="I18" s="33" t="str">
        <f t="shared" si="44"/>
        <v>Normal</v>
      </c>
      <c r="J18" s="33" t="str">
        <f>IF(J9&gt;=0, "Normal", "Risk")</f>
        <v>Normal</v>
      </c>
      <c r="K18" s="33" t="str">
        <f t="shared" ref="K18:N18" si="45">IF(K9&gt;=0, "Normal", "Risk")</f>
        <v>Normal</v>
      </c>
      <c r="L18" s="33" t="str">
        <f t="shared" si="45"/>
        <v>Normal</v>
      </c>
      <c r="M18" s="33" t="str">
        <f t="shared" si="45"/>
        <v>Normal</v>
      </c>
      <c r="N18" s="33" t="str">
        <f t="shared" si="45"/>
        <v>Risk</v>
      </c>
      <c r="O18" s="33" t="str">
        <f>IF(O9&gt;=0, "Normal", "Risk")</f>
        <v>Normal</v>
      </c>
      <c r="P18" s="33" t="str">
        <f t="shared" ref="P18" si="46">IF(P9&gt;=0, "Normal", "Risk")</f>
        <v>Normal</v>
      </c>
      <c r="Q18" s="33" t="str">
        <f>IF(Q9&gt;=0, "Normal", "Risk")</f>
        <v>Normal</v>
      </c>
      <c r="R18" s="33" t="str">
        <f t="shared" ref="R18" si="47">IF(R9&gt;=0, "Normal", "Risk")</f>
        <v>Normal</v>
      </c>
    </row>
    <row r="19" spans="1:18" s="4" customFormat="1" ht="48" x14ac:dyDescent="0.2">
      <c r="A19" s="46" t="s">
        <v>54</v>
      </c>
      <c r="B19" s="7" t="s">
        <v>55</v>
      </c>
      <c r="C19" s="33" t="str">
        <f>IF(C16&gt;1, "Normal", "Risk")</f>
        <v>Normal</v>
      </c>
      <c r="D19" s="33" t="str">
        <f>IF(D16&gt;1, "Normal", "Risk")</f>
        <v>Risk</v>
      </c>
      <c r="E19" s="33" t="str">
        <f>IF(E16&gt;1, "Normal", "Risk")</f>
        <v>Risk</v>
      </c>
      <c r="F19" s="33" t="str">
        <f>IF(F16&gt;1, "Normal", "Risk")</f>
        <v>Risk</v>
      </c>
      <c r="G19" s="33" t="str">
        <f t="shared" ref="G19:I19" si="48">IF(G16&gt;1, "Normal", "Risk")</f>
        <v>Normal</v>
      </c>
      <c r="H19" s="33" t="str">
        <f t="shared" si="48"/>
        <v>Risk</v>
      </c>
      <c r="I19" s="33" t="str">
        <f t="shared" si="48"/>
        <v>Risk</v>
      </c>
      <c r="J19" s="33" t="str">
        <f>IF(J16&gt;1, "Normal", "Risk")</f>
        <v>Risk</v>
      </c>
      <c r="K19" s="33" t="str">
        <f t="shared" ref="K19:N19" si="49">IF(K16&gt;1, "Normal", "Risk")</f>
        <v>Risk</v>
      </c>
      <c r="L19" s="33" t="str">
        <f t="shared" si="49"/>
        <v>Normal</v>
      </c>
      <c r="M19" s="33" t="str">
        <f t="shared" si="49"/>
        <v>Normal</v>
      </c>
      <c r="N19" s="33" t="str">
        <f t="shared" si="49"/>
        <v>Normal</v>
      </c>
      <c r="O19" s="33" t="str">
        <f>IF(O16&gt;1, "Normal", "Risk")</f>
        <v>Risk</v>
      </c>
      <c r="P19" s="33" t="str">
        <f t="shared" ref="P19" si="50">IF(P16&gt;1, "Normal", "Risk")</f>
        <v>Risk</v>
      </c>
      <c r="Q19" s="33" t="str">
        <f>IF(Q16&gt;1, "Normal", "Risk")</f>
        <v>Risk</v>
      </c>
      <c r="R19" s="33" t="str">
        <f t="shared" ref="R19" si="51">IF(R16&gt;1, "Normal", "Risk")</f>
        <v>Normal</v>
      </c>
    </row>
    <row r="20" spans="1:18" s="4" customFormat="1" x14ac:dyDescent="0.2">
      <c r="A20" s="34"/>
      <c r="B20" s="46" t="s">
        <v>56</v>
      </c>
      <c r="C20" s="35">
        <f>IF(AND(C17="Normal",C18="Normal",C19="Normal"),1,IF(AND(C17="Normal",C18="Normal",C19="Risk"),2,IF(AND(C17="Normal",C18="Risk",C19="Normal"),3,IF(AND(C17="Normal",C18="Risk",C19="Risk"),4,IF(AND(C17="Risk",C18="Normal",C19="Normal"),5,IF(AND(C17="Risk",C18="Normal",C19="Risk"),6,IF(AND(C17="Risk",C18="Risk",C19="Normal"),7,IF(AND(C17="Risk",C18="Risk",C19="Risk"),8,"Unknows"))))))))</f>
        <v>1</v>
      </c>
      <c r="D20" s="35">
        <f>IF(AND(D17="Normal",D18="Normal",D19="Normal"),1,IF(AND(D17="Normal",D18="Normal",D19="Risk"),2,IF(AND(D17="Normal",D18="Risk",D19="Normal"),3,IF(AND(D17="Normal",D18="Risk",D19="Risk"),4,IF(AND(D17="Risk",D18="Normal",D19="Normal"),5,IF(AND(D17="Risk",D18="Normal",D19="Risk"),6,IF(AND(D17="Risk",D18="Risk",D19="Normal"),7,IF(AND(D17="Risk",D18="Risk",D19="Risk"),8,"Unknows"))))))))</f>
        <v>2</v>
      </c>
      <c r="E20" s="35">
        <f>IF(AND(E17="Normal",E18="Normal",E19="Normal"),1,IF(AND(E17="Normal",E18="Normal",E19="Risk"),2,IF(AND(E17="Normal",E18="Risk",E19="Normal"),3,IF(AND(E17="Normal",E18="Risk",E19="Risk"),4,IF(AND(E17="Risk",E18="Normal",E19="Normal"),5,IF(AND(E17="Risk",E18="Normal",E19="Risk"),6,IF(AND(E17="Risk",E18="Risk",E19="Normal"),7,IF(AND(E17="Risk",E18="Risk",E19="Risk"),8,"Unknows"))))))))</f>
        <v>2</v>
      </c>
      <c r="F20" s="35">
        <f>IF(AND(F17="Normal",F18="Normal",F19="Normal"),1,IF(AND(F17="Normal",F18="Normal",F19="Risk"),2,IF(AND(F17="Normal",F18="Risk",F19="Normal"),3,IF(AND(F17="Normal",F18="Risk",F19="Risk"),4,IF(AND(F17="Risk",F18="Normal",F19="Normal"),5,IF(AND(F17="Risk",F18="Normal",F19="Risk"),6,IF(AND(F17="Risk",F18="Risk",F19="Normal"),7,IF(AND(F17="Risk",F18="Risk",F19="Risk"),8,"Unknows"))))))))</f>
        <v>2</v>
      </c>
      <c r="G20" s="35">
        <f t="shared" ref="G20:I20" si="52">IF(AND(G17="Normal",G18="Normal",G19="Normal"),1,IF(AND(G17="Normal",G18="Normal",G19="Risk"),2,IF(AND(G17="Normal",G18="Risk",G19="Normal"),3,IF(AND(G17="Normal",G18="Risk",G19="Risk"),4,IF(AND(G17="Risk",G18="Normal",G19="Normal"),5,IF(AND(G17="Risk",G18="Normal",G19="Risk"),6,IF(AND(G17="Risk",G18="Risk",G19="Normal"),7,IF(AND(G17="Risk",G18="Risk",G19="Risk"),8,"Unknows"))))))))</f>
        <v>1</v>
      </c>
      <c r="H20" s="35">
        <f t="shared" si="52"/>
        <v>2</v>
      </c>
      <c r="I20" s="35">
        <f t="shared" si="52"/>
        <v>2</v>
      </c>
      <c r="J20" s="35">
        <f>IF(AND(J17="Normal",J18="Normal",J19="Normal"),1,IF(AND(J17="Normal",J18="Normal",J19="Risk"),2,IF(AND(J17="Normal",J18="Risk",J19="Normal"),3,IF(AND(J17="Normal",J18="Risk",J19="Risk"),4,IF(AND(J17="Risk",J18="Normal",J19="Normal"),5,IF(AND(J17="Risk",J18="Normal",J19="Risk"),6,IF(AND(J17="Risk",J18="Risk",J19="Normal"),7,IF(AND(J17="Risk",J18="Risk",J19="Risk"),8,"Unknows"))))))))</f>
        <v>2</v>
      </c>
      <c r="K20" s="35">
        <f t="shared" ref="K20:N20" si="53">IF(AND(K17="Normal",K18="Normal",K19="Normal"),1,IF(AND(K17="Normal",K18="Normal",K19="Risk"),2,IF(AND(K17="Normal",K18="Risk",K19="Normal"),3,IF(AND(K17="Normal",K18="Risk",K19="Risk"),4,IF(AND(K17="Risk",K18="Normal",K19="Normal"),5,IF(AND(K17="Risk",K18="Normal",K19="Risk"),6,IF(AND(K17="Risk",K18="Risk",K19="Normal"),7,IF(AND(K17="Risk",K18="Risk",K19="Risk"),8,"Unknows"))))))))</f>
        <v>2</v>
      </c>
      <c r="L20" s="35">
        <f t="shared" si="53"/>
        <v>1</v>
      </c>
      <c r="M20" s="35">
        <f t="shared" si="53"/>
        <v>1</v>
      </c>
      <c r="N20" s="35">
        <f t="shared" si="53"/>
        <v>3</v>
      </c>
      <c r="O20" s="35">
        <f>IF(AND(O17="Normal",O18="Normal",O19="Normal"),1,IF(AND(O17="Normal",O18="Normal",O19="Risk"),2,IF(AND(O17="Normal",O18="Risk",O19="Normal"),3,IF(AND(O17="Normal",O18="Risk",O19="Risk"),4,IF(AND(O17="Risk",O18="Normal",O19="Normal"),5,IF(AND(O17="Risk",O18="Normal",O19="Risk"),6,IF(AND(O17="Risk",O18="Risk",O19="Normal"),7,IF(AND(O17="Risk",O18="Risk",O19="Risk"),8,"Unknows"))))))))</f>
        <v>2</v>
      </c>
      <c r="P20" s="35">
        <f t="shared" ref="P20" si="54">IF(AND(P17="Normal",P18="Normal",P19="Normal"),1,IF(AND(P17="Normal",P18="Normal",P19="Risk"),2,IF(AND(P17="Normal",P18="Risk",P19="Normal"),3,IF(AND(P17="Normal",P18="Risk",P19="Risk"),4,IF(AND(P17="Risk",P18="Normal",P19="Normal"),5,IF(AND(P17="Risk",P18="Normal",P19="Risk"),6,IF(AND(P17="Risk",P18="Risk",P19="Normal"),7,IF(AND(P17="Risk",P18="Risk",P19="Risk"),8,"Unknows"))))))))</f>
        <v>2</v>
      </c>
      <c r="Q20" s="35">
        <f>IF(AND(Q17="Normal",Q18="Normal",Q19="Normal"),1,IF(AND(Q17="Normal",Q18="Normal",Q19="Risk"),2,IF(AND(Q17="Normal",Q18="Risk",Q19="Normal"),3,IF(AND(Q17="Normal",Q18="Risk",Q19="Risk"),4,IF(AND(Q17="Risk",Q18="Normal",Q19="Normal"),5,IF(AND(Q17="Risk",Q18="Normal",Q19="Risk"),6,IF(AND(Q17="Risk",Q18="Risk",Q19="Normal"),7,IF(AND(Q17="Risk",Q18="Risk",Q19="Risk"),8,"Unknows"))))))))</f>
        <v>2</v>
      </c>
      <c r="R20" s="35">
        <f t="shared" ref="R20" si="55">IF(AND(R17="Normal",R18="Normal",R19="Normal"),1,IF(AND(R17="Normal",R18="Normal",R19="Risk"),2,IF(AND(R17="Normal",R18="Risk",R19="Normal"),3,IF(AND(R17="Normal",R18="Risk",R19="Risk"),4,IF(AND(R17="Risk",R18="Normal",R19="Normal"),5,IF(AND(R17="Risk",R18="Normal",R19="Risk"),6,IF(AND(R17="Risk",R18="Risk",R19="Normal"),7,IF(AND(R17="Risk",R18="Risk",R19="Risk"),8,"Unknows"))))))))</f>
        <v>1</v>
      </c>
    </row>
    <row r="21" spans="1:18" s="4" customFormat="1" ht="48" x14ac:dyDescent="0.2">
      <c r="A21" s="36"/>
      <c r="B21" s="37" t="s">
        <v>57</v>
      </c>
      <c r="C21" s="38" t="str">
        <f>VLOOKUP(C20,$X$4:$AB$12,5,0)</f>
        <v xml:space="preserve"> ไม่ต้องปรับ</v>
      </c>
      <c r="D21" s="38" t="str">
        <f>VLOOKUP(D20,$X$4:$AB$12,5,0)</f>
        <v xml:space="preserve">ทบทวนการลงทุนอีกครั้ง </v>
      </c>
      <c r="E21" s="38" t="str">
        <f>VLOOKUP(E20,$X$4:$AB$12,5,0)</f>
        <v xml:space="preserve">ทบทวนการลงทุนอีกครั้ง </v>
      </c>
      <c r="F21" s="38" t="str">
        <f>VLOOKUP(F20,$X$4:$AB$12,5,0)</f>
        <v xml:space="preserve">ทบทวนการลงทุนอีกครั้ง </v>
      </c>
      <c r="G21" s="38" t="str">
        <f t="shared" ref="G21:I21" si="56">VLOOKUP(G20,$X$4:$AB$12,5,0)</f>
        <v xml:space="preserve"> ไม่ต้องปรับ</v>
      </c>
      <c r="H21" s="38" t="str">
        <f t="shared" si="56"/>
        <v xml:space="preserve">ทบทวนการลงทุนอีกครั้ง </v>
      </c>
      <c r="I21" s="38" t="str">
        <f t="shared" si="56"/>
        <v xml:space="preserve">ทบทวนการลงทุนอีกครั้ง </v>
      </c>
      <c r="J21" s="38" t="str">
        <f>VLOOKUP(J20,$X$4:$AB$12,5,0)</f>
        <v xml:space="preserve">ทบทวนการลงทุนอีกครั้ง </v>
      </c>
      <c r="K21" s="38" t="str">
        <f t="shared" ref="K21:N21" si="57">VLOOKUP(K20,$X$4:$AB$12,5,0)</f>
        <v xml:space="preserve">ทบทวนการลงทุนอีกครั้ง </v>
      </c>
      <c r="L21" s="38" t="str">
        <f t="shared" si="57"/>
        <v xml:space="preserve"> ไม่ต้องปรับ</v>
      </c>
      <c r="M21" s="38" t="str">
        <f t="shared" si="57"/>
        <v xml:space="preserve"> ไม่ต้องปรับ</v>
      </c>
      <c r="N21" s="38" t="str">
        <f t="shared" si="57"/>
        <v>ทบทวนการลงทุนอีกครั้ง ทำFeasibility study</v>
      </c>
      <c r="O21" s="38" t="str">
        <f>VLOOKUP(O20,$X$4:$AB$12,5,0)</f>
        <v xml:space="preserve">ทบทวนการลงทุนอีกครั้ง </v>
      </c>
      <c r="P21" s="38" t="str">
        <f t="shared" ref="P21" si="58">VLOOKUP(P20,$X$4:$AB$12,5,0)</f>
        <v xml:space="preserve">ทบทวนการลงทุนอีกครั้ง </v>
      </c>
      <c r="Q21" s="38" t="str">
        <f>VLOOKUP(Q20,$X$4:$AB$12,5,0)</f>
        <v xml:space="preserve">ทบทวนการลงทุนอีกครั้ง </v>
      </c>
      <c r="R21" s="38" t="str">
        <f t="shared" ref="R21" si="59">VLOOKUP(R20,$X$4:$AB$12,5,0)</f>
        <v xml:space="preserve"> ไม่ต้องปรับ</v>
      </c>
    </row>
  </sheetData>
  <mergeCells count="2">
    <mergeCell ref="AB2:AB3"/>
    <mergeCell ref="A9:A10"/>
  </mergeCells>
  <conditionalFormatting sqref="D22:D1048576">
    <cfRule type="containsText" dxfId="183" priority="29" operator="containsText" text="เกินดุล">
      <formula>NOT(ISERROR(SEARCH("เกินดุล",D22)))</formula>
    </cfRule>
    <cfRule type="containsText" dxfId="182" priority="30" operator="containsText" text="สมดุล">
      <formula>NOT(ISERROR(SEARCH("สมดุล",D22)))</formula>
    </cfRule>
    <cfRule type="containsText" dxfId="181" priority="31" operator="containsText" text="ขาดดุล">
      <formula>NOT(ISERROR(SEARCH("ขาดดุล",D22)))</formula>
    </cfRule>
    <cfRule type="containsText" dxfId="180" priority="32" operator="containsText" text="สมดุล">
      <formula>NOT(ISERROR(SEARCH("สมดุล",D22)))</formula>
    </cfRule>
  </conditionalFormatting>
  <conditionalFormatting sqref="A5:I5">
    <cfRule type="containsText" dxfId="179" priority="25" operator="containsText" text="เกินดุล">
      <formula>NOT(ISERROR(SEARCH("เกินดุล",A5)))</formula>
    </cfRule>
    <cfRule type="containsText" dxfId="178" priority="26" operator="containsText" text="สมดุล">
      <formula>NOT(ISERROR(SEARCH("สมดุล",A5)))</formula>
    </cfRule>
    <cfRule type="containsText" dxfId="177" priority="27" operator="containsText" text="ขาดดุล">
      <formula>NOT(ISERROR(SEARCH("ขาดดุล",A5)))</formula>
    </cfRule>
    <cfRule type="containsText" dxfId="176" priority="28" operator="containsText" text="สมดุล">
      <formula>NOT(ISERROR(SEARCH("สมดุล",A5)))</formula>
    </cfRule>
  </conditionalFormatting>
  <conditionalFormatting sqref="C9:I9">
    <cfRule type="cellIs" dxfId="175" priority="24" operator="lessThan">
      <formula>0</formula>
    </cfRule>
  </conditionalFormatting>
  <conditionalFormatting sqref="C20:I20">
    <cfRule type="cellIs" dxfId="174" priority="15" operator="equal">
      <formula>8</formula>
    </cfRule>
    <cfRule type="cellIs" dxfId="173" priority="16" operator="equal">
      <formula>7</formula>
    </cfRule>
    <cfRule type="cellIs" dxfId="172" priority="17" operator="equal">
      <formula>6</formula>
    </cfRule>
    <cfRule type="cellIs" dxfId="171" priority="18" operator="equal">
      <formula>5</formula>
    </cfRule>
    <cfRule type="cellIs" dxfId="170" priority="19" operator="equal">
      <formula>4</formula>
    </cfRule>
    <cfRule type="cellIs" dxfId="169" priority="20" operator="equal">
      <formula>3</formula>
    </cfRule>
    <cfRule type="cellIs" dxfId="168" priority="21" operator="equal">
      <formula>2</formula>
    </cfRule>
    <cfRule type="cellIs" dxfId="167" priority="22" operator="equal">
      <formula>1</formula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R5">
    <cfRule type="containsText" dxfId="166" priority="11" operator="containsText" text="เกินดุล">
      <formula>NOT(ISERROR(SEARCH("เกินดุล",J5)))</formula>
    </cfRule>
    <cfRule type="containsText" dxfId="165" priority="12" operator="containsText" text="สมดุล">
      <formula>NOT(ISERROR(SEARCH("สมดุล",J5)))</formula>
    </cfRule>
    <cfRule type="containsText" dxfId="164" priority="13" operator="containsText" text="ขาดดุล">
      <formula>NOT(ISERROR(SEARCH("ขาดดุล",J5)))</formula>
    </cfRule>
    <cfRule type="containsText" dxfId="163" priority="14" operator="containsText" text="สมดุล">
      <formula>NOT(ISERROR(SEARCH("สมดุล",J5)))</formula>
    </cfRule>
  </conditionalFormatting>
  <conditionalFormatting sqref="J9:R9">
    <cfRule type="cellIs" dxfId="162" priority="10" operator="lessThan">
      <formula>0</formula>
    </cfRule>
  </conditionalFormatting>
  <conditionalFormatting sqref="J20:R20">
    <cfRule type="cellIs" dxfId="161" priority="1" operator="equal">
      <formula>8</formula>
    </cfRule>
    <cfRule type="cellIs" dxfId="160" priority="2" operator="equal">
      <formula>7</formula>
    </cfRule>
    <cfRule type="cellIs" dxfId="159" priority="3" operator="equal">
      <formula>6</formula>
    </cfRule>
    <cfRule type="cellIs" dxfId="158" priority="4" operator="equal">
      <formula>5</formula>
    </cfRule>
    <cfRule type="cellIs" dxfId="157" priority="5" operator="equal">
      <formula>4</formula>
    </cfRule>
    <cfRule type="cellIs" dxfId="156" priority="6" operator="equal">
      <formula>3</formula>
    </cfRule>
    <cfRule type="cellIs" dxfId="155" priority="7" operator="equal">
      <formula>2</formula>
    </cfRule>
    <cfRule type="cellIs" dxfId="154" priority="8" operator="equal">
      <formula>1</formula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1"/>
  <sheetViews>
    <sheetView workbookViewId="0">
      <pane xSplit="2" topLeftCell="C1" activePane="topRight" state="frozen"/>
      <selection pane="topRight" activeCell="B25" sqref="B25"/>
    </sheetView>
  </sheetViews>
  <sheetFormatPr defaultColWidth="9.125" defaultRowHeight="24" x14ac:dyDescent="0.2"/>
  <cols>
    <col min="1" max="1" width="19.375" style="39" customWidth="1"/>
    <col min="2" max="2" width="65.75" style="40" customWidth="1"/>
    <col min="3" max="3" width="18.375" style="41" customWidth="1"/>
    <col min="4" max="6" width="18.375" style="3" customWidth="1"/>
    <col min="7" max="10" width="18.375" style="4" customWidth="1"/>
    <col min="11" max="11" width="18.375" style="41" customWidth="1"/>
    <col min="12" max="13" width="18.375" style="3" customWidth="1"/>
    <col min="14" max="14" width="52" style="4" customWidth="1"/>
    <col min="15" max="18" width="9.125" style="4"/>
    <col min="19" max="19" width="6.375" style="5" hidden="1" customWidth="1"/>
    <col min="20" max="20" width="11.875" style="5" hidden="1" customWidth="1"/>
    <col min="21" max="21" width="12.375" style="5" hidden="1" customWidth="1"/>
    <col min="22" max="22" width="14" style="5" hidden="1" customWidth="1"/>
    <col min="23" max="23" width="72.375" style="5" hidden="1" customWidth="1"/>
    <col min="24" max="24" width="9.125" style="4" hidden="1" customWidth="1"/>
    <col min="25" max="16384" width="9.125" style="4"/>
  </cols>
  <sheetData>
    <row r="1" spans="1:23" x14ac:dyDescent="0.55000000000000004">
      <c r="A1" s="1" t="s">
        <v>0</v>
      </c>
      <c r="B1" s="2" t="s">
        <v>1</v>
      </c>
      <c r="C1" s="42" t="s">
        <v>93</v>
      </c>
      <c r="D1" s="42" t="s">
        <v>94</v>
      </c>
      <c r="E1" s="42" t="s">
        <v>95</v>
      </c>
      <c r="F1" s="43" t="s">
        <v>96</v>
      </c>
      <c r="G1" s="43" t="s">
        <v>97</v>
      </c>
      <c r="H1" s="43" t="s">
        <v>98</v>
      </c>
      <c r="I1" s="43" t="s">
        <v>99</v>
      </c>
      <c r="J1" s="43" t="s">
        <v>100</v>
      </c>
      <c r="K1" s="42" t="s">
        <v>101</v>
      </c>
      <c r="L1" s="42" t="s">
        <v>102</v>
      </c>
      <c r="M1" s="42" t="s">
        <v>103</v>
      </c>
    </row>
    <row r="2" spans="1:23" x14ac:dyDescent="0.2">
      <c r="A2" s="6" t="s">
        <v>2</v>
      </c>
      <c r="B2" s="7" t="s">
        <v>3</v>
      </c>
      <c r="C2" s="8">
        <f>1282740324.05-15640324.05</f>
        <v>1267100000</v>
      </c>
      <c r="D2" s="8">
        <f>563489000-5642000-120000000</f>
        <v>437847000</v>
      </c>
      <c r="E2" s="8">
        <f>147057627.62-3881787.51</f>
        <v>143175840.11000001</v>
      </c>
      <c r="F2" s="8">
        <f>217588020.48-6368275.48</f>
        <v>211219745</v>
      </c>
      <c r="G2" s="8">
        <f>309454880-5152980</f>
        <v>304301900</v>
      </c>
      <c r="H2" s="8">
        <f>102813201-2190651</f>
        <v>100622550</v>
      </c>
      <c r="I2" s="8">
        <f>104575320-3307320</f>
        <v>101268000</v>
      </c>
      <c r="J2" s="8">
        <f>73495362.78-3187262.78</f>
        <v>70308100</v>
      </c>
      <c r="K2" s="8">
        <f>72495710.1-1816910.1</f>
        <v>70678800</v>
      </c>
      <c r="L2" s="8">
        <f>79014170-3272800</f>
        <v>75741370</v>
      </c>
      <c r="M2" s="8">
        <f>85298155.12-3648178.74</f>
        <v>81649976.38000001</v>
      </c>
      <c r="S2" s="9"/>
      <c r="T2" s="10" t="s">
        <v>4</v>
      </c>
      <c r="U2" s="11" t="s">
        <v>5</v>
      </c>
      <c r="V2" s="11" t="s">
        <v>6</v>
      </c>
      <c r="W2" s="47"/>
    </row>
    <row r="3" spans="1:23" ht="48.75" thickBot="1" x14ac:dyDescent="0.25">
      <c r="A3" s="6" t="s">
        <v>7</v>
      </c>
      <c r="B3" s="7" t="s">
        <v>8</v>
      </c>
      <c r="C3" s="8">
        <f>1193850000-1000000-78000000</f>
        <v>1114850000</v>
      </c>
      <c r="D3" s="8">
        <f>596310800-120000000-39990000</f>
        <v>436320800</v>
      </c>
      <c r="E3" s="8">
        <f>146320895.93-7295164.7</f>
        <v>139025731.23000002</v>
      </c>
      <c r="F3" s="8">
        <f>220578475-18042900</f>
        <v>202535575</v>
      </c>
      <c r="G3" s="8">
        <f>322956900-18655000</f>
        <v>304301900</v>
      </c>
      <c r="H3" s="8">
        <f>102598252-4054450</f>
        <v>98543802</v>
      </c>
      <c r="I3" s="8">
        <f>98952500-6151000</f>
        <v>92801500</v>
      </c>
      <c r="J3" s="8">
        <f>64913000-1906000</f>
        <v>63007000</v>
      </c>
      <c r="K3" s="8">
        <f>74701387-4421600</f>
        <v>70279787</v>
      </c>
      <c r="L3" s="8">
        <f>77430579-4637180</f>
        <v>72793399</v>
      </c>
      <c r="M3" s="8">
        <f>80981312-2085900</f>
        <v>78895412</v>
      </c>
      <c r="S3" s="12"/>
      <c r="T3" s="12"/>
      <c r="U3" s="13" t="s">
        <v>9</v>
      </c>
      <c r="V3" s="12"/>
      <c r="W3" s="48"/>
    </row>
    <row r="4" spans="1:23" ht="49.5" thickTop="1" thickBot="1" x14ac:dyDescent="0.25">
      <c r="A4" s="6" t="s">
        <v>10</v>
      </c>
      <c r="B4" s="7" t="s">
        <v>11</v>
      </c>
      <c r="C4" s="14">
        <f>SUM(C2-C3)</f>
        <v>152250000</v>
      </c>
      <c r="D4" s="14">
        <f>SUM(D2-D3)</f>
        <v>1526200</v>
      </c>
      <c r="E4" s="14">
        <f>SUM(E2-E3)</f>
        <v>4150108.8799999952</v>
      </c>
      <c r="F4" s="14">
        <f>SUM(F2-F3)</f>
        <v>8684170</v>
      </c>
      <c r="G4" s="14">
        <f t="shared" ref="G4:J4" si="0">SUM(G2-G3)</f>
        <v>0</v>
      </c>
      <c r="H4" s="14">
        <f t="shared" si="0"/>
        <v>2078748</v>
      </c>
      <c r="I4" s="14">
        <f t="shared" si="0"/>
        <v>8466500</v>
      </c>
      <c r="J4" s="14">
        <f t="shared" si="0"/>
        <v>7301100</v>
      </c>
      <c r="K4" s="14">
        <f>SUM(K2-K3)</f>
        <v>399013</v>
      </c>
      <c r="L4" s="14">
        <f>SUM(L2-L3)</f>
        <v>2947971</v>
      </c>
      <c r="M4" s="14">
        <f>SUM(M2-M3)</f>
        <v>2754564.3800000101</v>
      </c>
      <c r="S4" s="15">
        <v>1</v>
      </c>
      <c r="T4" s="15" t="s">
        <v>12</v>
      </c>
      <c r="U4" s="15" t="s">
        <v>13</v>
      </c>
      <c r="V4" s="15" t="s">
        <v>14</v>
      </c>
      <c r="W4" s="16" t="s">
        <v>15</v>
      </c>
    </row>
    <row r="5" spans="1:23" ht="24.75" thickBot="1" x14ac:dyDescent="0.25">
      <c r="A5" s="6" t="s">
        <v>16</v>
      </c>
      <c r="B5" s="7" t="s">
        <v>17</v>
      </c>
      <c r="C5" s="17" t="str">
        <f>IF(C4&gt;0,"เกินดุล",IF(C4=0,"สมดุล","ขาดดุล"))</f>
        <v>เกินดุล</v>
      </c>
      <c r="D5" s="17" t="str">
        <f>IF(D4&gt;0,"เกินดุล",IF(D4=0,"สมดุล","ขาดดุล"))</f>
        <v>เกินดุล</v>
      </c>
      <c r="E5" s="17" t="str">
        <f>IF(E4&gt;0,"เกินดุล",IF(E4=0,"สมดุล","ขาดดุล"))</f>
        <v>เกินดุล</v>
      </c>
      <c r="F5" s="17" t="str">
        <f>IF(F4&gt;0,"เกินดุล",IF(F4=0,"สมดุล","ขาดดุล"))</f>
        <v>เกินดุล</v>
      </c>
      <c r="G5" s="17" t="str">
        <f t="shared" ref="G5:J5" si="1">IF(G4&gt;0,"เกินดุล",IF(G4=0,"สมดุล","ขาดดุล"))</f>
        <v>สมดุล</v>
      </c>
      <c r="H5" s="17" t="str">
        <f t="shared" si="1"/>
        <v>เกินดุล</v>
      </c>
      <c r="I5" s="17" t="str">
        <f t="shared" si="1"/>
        <v>เกินดุล</v>
      </c>
      <c r="J5" s="17" t="str">
        <f t="shared" si="1"/>
        <v>เกินดุล</v>
      </c>
      <c r="K5" s="17" t="str">
        <f>IF(K4&gt;0,"เกินดุล",IF(K4=0,"สมดุล","ขาดดุล"))</f>
        <v>เกินดุล</v>
      </c>
      <c r="L5" s="17" t="str">
        <f>IF(L4&gt;0,"เกินดุล",IF(L4=0,"สมดุล","ขาดดุล"))</f>
        <v>เกินดุล</v>
      </c>
      <c r="M5" s="17" t="str">
        <f>IF(M4&gt;0,"เกินดุล",IF(M4=0,"สมดุล","ขาดดุล"))</f>
        <v>เกินดุล</v>
      </c>
      <c r="S5" s="18">
        <v>2</v>
      </c>
      <c r="T5" s="18" t="s">
        <v>12</v>
      </c>
      <c r="U5" s="18" t="s">
        <v>13</v>
      </c>
      <c r="V5" s="19" t="s">
        <v>18</v>
      </c>
      <c r="W5" s="20" t="s">
        <v>19</v>
      </c>
    </row>
    <row r="6" spans="1:23" ht="24.75" thickBot="1" x14ac:dyDescent="0.25">
      <c r="A6" s="6" t="s">
        <v>20</v>
      </c>
      <c r="B6" s="7" t="s">
        <v>21</v>
      </c>
      <c r="C6" s="14">
        <f>IF(C4&lt;=0,0,ROUNDUP((C4*20%),2))</f>
        <v>30450000</v>
      </c>
      <c r="D6" s="14">
        <f>IF(D4&lt;=0,0,ROUNDUP((D4*20%),2))</f>
        <v>305240</v>
      </c>
      <c r="E6" s="14">
        <f>IF(E4&lt;=0,0,ROUNDUP((E4*20%),2))</f>
        <v>830021.78</v>
      </c>
      <c r="F6" s="14">
        <f>IF(F4&lt;=0,0,ROUNDUP((F4*20%),2))</f>
        <v>1736834</v>
      </c>
      <c r="G6" s="14">
        <f t="shared" ref="G6:J6" si="2">IF(G4&lt;=0,0,ROUNDUP((G4*20%),2))</f>
        <v>0</v>
      </c>
      <c r="H6" s="14">
        <f t="shared" si="2"/>
        <v>415749.6</v>
      </c>
      <c r="I6" s="14">
        <f t="shared" si="2"/>
        <v>1693300</v>
      </c>
      <c r="J6" s="14">
        <f t="shared" si="2"/>
        <v>1460220</v>
      </c>
      <c r="K6" s="14">
        <f>IF(K4&lt;=0,0,ROUNDUP((K4*20%),2))</f>
        <v>79802.600000000006</v>
      </c>
      <c r="L6" s="14">
        <f>IF(L4&lt;=0,0,ROUNDUP((L4*20%),2))</f>
        <v>589594.19999999995</v>
      </c>
      <c r="M6" s="14">
        <f>IF(M4&lt;=0,0,ROUNDUP((M4*20%),2))</f>
        <v>550912.88</v>
      </c>
      <c r="S6" s="21">
        <v>3</v>
      </c>
      <c r="T6" s="21" t="s">
        <v>12</v>
      </c>
      <c r="U6" s="21" t="s">
        <v>22</v>
      </c>
      <c r="V6" s="21" t="s">
        <v>14</v>
      </c>
      <c r="W6" s="22" t="s">
        <v>23</v>
      </c>
    </row>
    <row r="7" spans="1:23" ht="24.75" thickBot="1" x14ac:dyDescent="0.25">
      <c r="A7" s="6" t="s">
        <v>24</v>
      </c>
      <c r="B7" s="7" t="s">
        <v>25</v>
      </c>
      <c r="C7" s="14">
        <v>9085941</v>
      </c>
      <c r="D7" s="14">
        <v>3200000</v>
      </c>
      <c r="E7" s="14">
        <v>993180</v>
      </c>
      <c r="F7" s="14">
        <v>250000</v>
      </c>
      <c r="G7" s="14">
        <v>11407400</v>
      </c>
      <c r="H7" s="14">
        <f>SUM([1]Planfin2563!H91)</f>
        <v>0</v>
      </c>
      <c r="I7" s="14">
        <v>1416100</v>
      </c>
      <c r="J7" s="14">
        <v>607500</v>
      </c>
      <c r="K7" s="14">
        <v>1630000</v>
      </c>
      <c r="L7" s="14">
        <v>589500</v>
      </c>
      <c r="M7" s="14">
        <v>1800000</v>
      </c>
      <c r="S7" s="23">
        <v>4</v>
      </c>
      <c r="T7" s="23" t="s">
        <v>12</v>
      </c>
      <c r="U7" s="23" t="s">
        <v>22</v>
      </c>
      <c r="V7" s="24" t="s">
        <v>18</v>
      </c>
      <c r="W7" s="25" t="s">
        <v>26</v>
      </c>
    </row>
    <row r="8" spans="1:23" ht="24.75" thickBot="1" x14ac:dyDescent="0.25">
      <c r="A8" s="6" t="s">
        <v>27</v>
      </c>
      <c r="B8" s="7" t="s">
        <v>28</v>
      </c>
      <c r="C8" s="14">
        <f>IF(C4=0,0,(C7/C4)*100)</f>
        <v>5.9677773399014775</v>
      </c>
      <c r="D8" s="14">
        <f>IF(D4=0,0,(D7/D4)*100)</f>
        <v>209.67107849561</v>
      </c>
      <c r="E8" s="14">
        <f>IF(E4=0,0,(E7/E4)*100)</f>
        <v>23.931420324567512</v>
      </c>
      <c r="F8" s="14">
        <f>IF(F4=0,0,(F7/F4)*100)</f>
        <v>2.8788013131940069</v>
      </c>
      <c r="G8" s="14">
        <f t="shared" ref="G8:J8" si="3">IF(G4=0,0,(G7/G4)*100)</f>
        <v>0</v>
      </c>
      <c r="H8" s="14">
        <f t="shared" si="3"/>
        <v>0</v>
      </c>
      <c r="I8" s="14">
        <f t="shared" si="3"/>
        <v>16.725919801570896</v>
      </c>
      <c r="J8" s="14">
        <f t="shared" si="3"/>
        <v>8.3206640095328108</v>
      </c>
      <c r="K8" s="14">
        <f>IF(K4=0,0,(K7/K4)*100)</f>
        <v>408.50799347389682</v>
      </c>
      <c r="L8" s="14">
        <f>IF(L4=0,0,(L7/L4)*100)</f>
        <v>19.996804581863252</v>
      </c>
      <c r="M8" s="14">
        <f>IF(M4=0,0,(M7/M4)*100)</f>
        <v>65.346085684880364</v>
      </c>
      <c r="S8" s="26">
        <v>5</v>
      </c>
      <c r="T8" s="27" t="s">
        <v>18</v>
      </c>
      <c r="U8" s="27" t="s">
        <v>29</v>
      </c>
      <c r="V8" s="26" t="s">
        <v>14</v>
      </c>
      <c r="W8" s="28" t="s">
        <v>30</v>
      </c>
    </row>
    <row r="9" spans="1:23" ht="24.75" thickBot="1" x14ac:dyDescent="0.25">
      <c r="A9" s="49" t="s">
        <v>31</v>
      </c>
      <c r="B9" s="7" t="s">
        <v>32</v>
      </c>
      <c r="C9" s="14">
        <f>C6-C7</f>
        <v>21364059</v>
      </c>
      <c r="D9" s="14">
        <f>D6-D7</f>
        <v>-2894760</v>
      </c>
      <c r="E9" s="14">
        <f>E6-E7</f>
        <v>-163158.21999999997</v>
      </c>
      <c r="F9" s="14">
        <f>F6-F7</f>
        <v>1486834</v>
      </c>
      <c r="G9" s="14">
        <f t="shared" ref="G9:J9" si="4">G6-G7</f>
        <v>-11407400</v>
      </c>
      <c r="H9" s="14">
        <f t="shared" si="4"/>
        <v>415749.6</v>
      </c>
      <c r="I9" s="14">
        <f t="shared" si="4"/>
        <v>277200</v>
      </c>
      <c r="J9" s="14">
        <f t="shared" si="4"/>
        <v>852720</v>
      </c>
      <c r="K9" s="14">
        <f>K6-K7</f>
        <v>-1550197.4</v>
      </c>
      <c r="L9" s="14">
        <f>L6-L7</f>
        <v>94.199999999953434</v>
      </c>
      <c r="M9" s="14">
        <f>M6-M7</f>
        <v>-1249087.1200000001</v>
      </c>
      <c r="S9" s="23">
        <v>6</v>
      </c>
      <c r="T9" s="24" t="s">
        <v>18</v>
      </c>
      <c r="U9" s="24" t="s">
        <v>29</v>
      </c>
      <c r="V9" s="24" t="s">
        <v>33</v>
      </c>
      <c r="W9" s="25" t="s">
        <v>34</v>
      </c>
    </row>
    <row r="10" spans="1:23" ht="24.75" thickBot="1" x14ac:dyDescent="0.25">
      <c r="A10" s="49"/>
      <c r="B10" s="7" t="s">
        <v>35</v>
      </c>
      <c r="C10" s="29" t="str">
        <f>IF(C9&gt;=0,"ไม่เกิน","เกิน")</f>
        <v>ไม่เกิน</v>
      </c>
      <c r="D10" s="29" t="str">
        <f>IF(D9&gt;=0,"ไม่เกิน","เกิน")</f>
        <v>เกิน</v>
      </c>
      <c r="E10" s="29" t="str">
        <f>IF(E9&gt;=0,"ไม่เกิน","เกิน")</f>
        <v>เกิน</v>
      </c>
      <c r="F10" s="29" t="str">
        <f>IF(F9&gt;=0,"ไม่เกิน","เกิน")</f>
        <v>ไม่เกิน</v>
      </c>
      <c r="G10" s="29" t="str">
        <f t="shared" ref="G10:J10" si="5">IF(G9&gt;=0,"ไม่เกิน","เกิน")</f>
        <v>เกิน</v>
      </c>
      <c r="H10" s="29" t="str">
        <f t="shared" si="5"/>
        <v>ไม่เกิน</v>
      </c>
      <c r="I10" s="29" t="str">
        <f t="shared" si="5"/>
        <v>ไม่เกิน</v>
      </c>
      <c r="J10" s="29" t="str">
        <f t="shared" si="5"/>
        <v>ไม่เกิน</v>
      </c>
      <c r="K10" s="29" t="str">
        <f>IF(K9&gt;=0,"ไม่เกิน","เกิน")</f>
        <v>เกิน</v>
      </c>
      <c r="L10" s="29" t="str">
        <f>IF(L9&gt;=0,"ไม่เกิน","เกิน")</f>
        <v>ไม่เกิน</v>
      </c>
      <c r="M10" s="29" t="str">
        <f>IF(M9&gt;=0,"ไม่เกิน","เกิน")</f>
        <v>เกิน</v>
      </c>
      <c r="S10" s="23"/>
      <c r="T10" s="24"/>
      <c r="U10" s="24"/>
      <c r="V10" s="24"/>
      <c r="W10" s="25"/>
    </row>
    <row r="11" spans="1:23" ht="24.75" thickBot="1" x14ac:dyDescent="0.25">
      <c r="A11" s="6" t="s">
        <v>36</v>
      </c>
      <c r="B11" s="7" t="s">
        <v>37</v>
      </c>
      <c r="C11" s="14">
        <v>211806744.08000001</v>
      </c>
      <c r="D11" s="14">
        <v>-8528722.8599999994</v>
      </c>
      <c r="E11" s="14">
        <v>2789286.07</v>
      </c>
      <c r="F11" s="14">
        <v>-2934729.77</v>
      </c>
      <c r="G11" s="14">
        <v>-26033939.140000001</v>
      </c>
      <c r="H11" s="14">
        <v>8132316.4800000004</v>
      </c>
      <c r="I11" s="14">
        <v>6720634.0300000003</v>
      </c>
      <c r="J11" s="14">
        <v>3736544.87</v>
      </c>
      <c r="K11" s="14">
        <v>6470074.6500000004</v>
      </c>
      <c r="L11" s="14">
        <v>-6313206.54</v>
      </c>
      <c r="M11" s="14">
        <v>37405253.939999998</v>
      </c>
      <c r="S11" s="21">
        <v>7</v>
      </c>
      <c r="T11" s="30" t="s">
        <v>18</v>
      </c>
      <c r="U11" s="30" t="s">
        <v>33</v>
      </c>
      <c r="V11" s="21" t="s">
        <v>14</v>
      </c>
      <c r="W11" s="22" t="s">
        <v>38</v>
      </c>
    </row>
    <row r="12" spans="1:23" x14ac:dyDescent="0.2">
      <c r="A12" s="6" t="s">
        <v>39</v>
      </c>
      <c r="B12" s="7" t="s">
        <v>40</v>
      </c>
      <c r="C12" s="14">
        <f>192955286.68-296637133.95</f>
        <v>-103681847.26999998</v>
      </c>
      <c r="D12" s="14">
        <f>128712049.31-116688387.79</f>
        <v>12023661.519999996</v>
      </c>
      <c r="E12" s="14">
        <f>17740396.96-25975939.74</f>
        <v>-8235542.7799999975</v>
      </c>
      <c r="F12" s="14">
        <f>34203106.78-61246638.58</f>
        <v>-27043531.799999997</v>
      </c>
      <c r="G12" s="14">
        <f>39858937.79-102178567.81</f>
        <v>-62319630.020000003</v>
      </c>
      <c r="H12" s="14">
        <f>44576629.45-44858030</f>
        <v>-281400.54999999702</v>
      </c>
      <c r="I12" s="14">
        <f>11314111.84-11782498.22</f>
        <v>-468386.38000000082</v>
      </c>
      <c r="J12" s="14">
        <f>6116836.54-13312940.17</f>
        <v>-7196103.6299999999</v>
      </c>
      <c r="K12" s="14">
        <f>16392759.19-14004224.79</f>
        <v>2388534.4000000004</v>
      </c>
      <c r="L12" s="14">
        <f>7950143.16-25143048.03</f>
        <v>-17192904.870000001</v>
      </c>
      <c r="M12" s="14">
        <f>43213430.17-11531664.45</f>
        <v>31681765.720000003</v>
      </c>
      <c r="S12" s="23">
        <v>8</v>
      </c>
      <c r="T12" s="24" t="s">
        <v>18</v>
      </c>
      <c r="U12" s="24" t="s">
        <v>33</v>
      </c>
      <c r="V12" s="24" t="s">
        <v>18</v>
      </c>
      <c r="W12" s="25" t="s">
        <v>41</v>
      </c>
    </row>
    <row r="13" spans="1:23" x14ac:dyDescent="0.2">
      <c r="A13" s="6" t="s">
        <v>42</v>
      </c>
      <c r="B13" s="7" t="s">
        <v>43</v>
      </c>
      <c r="C13" s="14">
        <f>SUM(C3/12)</f>
        <v>92904166.666666672</v>
      </c>
      <c r="D13" s="14">
        <f>SUM(D3/12)</f>
        <v>36360066.666666664</v>
      </c>
      <c r="E13" s="14">
        <f>SUM(E3/12)</f>
        <v>11585477.602500001</v>
      </c>
      <c r="F13" s="14">
        <f>SUM(F3/12)</f>
        <v>16877964.583333332</v>
      </c>
      <c r="G13" s="14">
        <f t="shared" ref="G13:J13" si="6">SUM(G3/12)</f>
        <v>25358491.666666668</v>
      </c>
      <c r="H13" s="14">
        <f t="shared" si="6"/>
        <v>8211983.5</v>
      </c>
      <c r="I13" s="14">
        <f t="shared" si="6"/>
        <v>7733458.333333333</v>
      </c>
      <c r="J13" s="14">
        <f t="shared" si="6"/>
        <v>5250583.333333333</v>
      </c>
      <c r="K13" s="14">
        <f>SUM(K3/12)</f>
        <v>5856648.916666667</v>
      </c>
      <c r="L13" s="14">
        <f>SUM(L3/12)</f>
        <v>6066116.583333333</v>
      </c>
      <c r="M13" s="14">
        <f>SUM(M3/12)</f>
        <v>6574617.666666667</v>
      </c>
    </row>
    <row r="14" spans="1:23" x14ac:dyDescent="0.2">
      <c r="A14" s="6" t="s">
        <v>44</v>
      </c>
      <c r="B14" s="7" t="s">
        <v>45</v>
      </c>
      <c r="C14" s="14">
        <f>IFERROR(SUM(C11/C13),0)</f>
        <v>2.2798411705251826</v>
      </c>
      <c r="D14" s="14">
        <f>IFERROR(SUM(D11/D13),0)</f>
        <v>-0.23456290490849852</v>
      </c>
      <c r="E14" s="14">
        <f>IFERROR(SUM(E11/E13),0)</f>
        <v>0.24075710693170793</v>
      </c>
      <c r="F14" s="14">
        <f>IFERROR(SUM(F11/F13),0)</f>
        <v>-0.17387936534112589</v>
      </c>
      <c r="G14" s="14">
        <f t="shared" ref="G14:J14" si="7">IFERROR(SUM(G11/G13),0)</f>
        <v>-1.026635948313172</v>
      </c>
      <c r="H14" s="14">
        <f t="shared" si="7"/>
        <v>0.99029868727817105</v>
      </c>
      <c r="I14" s="14">
        <f t="shared" si="7"/>
        <v>0.86903345700231149</v>
      </c>
      <c r="J14" s="14">
        <f t="shared" si="7"/>
        <v>0.7116437608519689</v>
      </c>
      <c r="K14" s="14">
        <f>IFERROR(SUM(K11/K13),0)</f>
        <v>1.1047400556293661</v>
      </c>
      <c r="L14" s="14">
        <f>IFERROR(SUM(L11/L13),0)</f>
        <v>-1.0407328071052158</v>
      </c>
      <c r="M14" s="14">
        <f>IFERROR(SUM(M11/M13),0)</f>
        <v>5.6893428388459393</v>
      </c>
    </row>
    <row r="15" spans="1:23" x14ac:dyDescent="0.2">
      <c r="A15" s="31" t="s">
        <v>46</v>
      </c>
      <c r="B15" s="7" t="s">
        <v>47</v>
      </c>
      <c r="C15" s="32">
        <f>IF(AND(C11&lt;0,C9&lt;0),(C9+C11),(C11-C9))</f>
        <v>190442685.08000001</v>
      </c>
      <c r="D15" s="32">
        <f>IF(AND(D11&lt;0,D9&lt;0),(D9+D11),(D11-D9))</f>
        <v>-11423482.859999999</v>
      </c>
      <c r="E15" s="32">
        <f>IF(AND(E11&lt;0,E9&lt;0),(E9+E11),(E11-E9))</f>
        <v>2952444.29</v>
      </c>
      <c r="F15" s="32">
        <f>IF(AND(F11&lt;0,F9&lt;0),(F9+F11),(F11-F9))</f>
        <v>-4421563.7699999996</v>
      </c>
      <c r="G15" s="32">
        <f t="shared" ref="G15:J15" si="8">IF(AND(G11&lt;0,G9&lt;0),(G9+G11),(G11-G9))</f>
        <v>-37441339.140000001</v>
      </c>
      <c r="H15" s="32">
        <f t="shared" si="8"/>
        <v>7716566.8800000008</v>
      </c>
      <c r="I15" s="32">
        <f t="shared" si="8"/>
        <v>6443434.0300000003</v>
      </c>
      <c r="J15" s="32">
        <f t="shared" si="8"/>
        <v>2883824.87</v>
      </c>
      <c r="K15" s="32">
        <f>IF(AND(K11&lt;0,K9&lt;0),(K9+K11),(K11-K9))</f>
        <v>8020272.0500000007</v>
      </c>
      <c r="L15" s="32">
        <f>IF(AND(L11&lt;0,L9&lt;0),(L9+L11),(L11-L9))</f>
        <v>-6313300.7400000002</v>
      </c>
      <c r="M15" s="32">
        <f>IF(AND(M11&lt;0,M9&lt;0),(M9+M11),(M11-M9))</f>
        <v>38654341.059999995</v>
      </c>
    </row>
    <row r="16" spans="1:23" ht="48" x14ac:dyDescent="0.2">
      <c r="A16" s="6" t="s">
        <v>48</v>
      </c>
      <c r="B16" s="7" t="s">
        <v>49</v>
      </c>
      <c r="C16" s="14">
        <f>IFERROR(SUM(C15/C13),0)</f>
        <v>2.0498831420908643</v>
      </c>
      <c r="D16" s="14">
        <f>IFERROR(SUM(D15/D13),0)</f>
        <v>-0.31417662032156157</v>
      </c>
      <c r="E16" s="14">
        <f>IFERROR(SUM(E15/E13),0)</f>
        <v>0.25484010165993498</v>
      </c>
      <c r="F16" s="14">
        <f>IFERROR(SUM(F15/F13),0)</f>
        <v>-0.26197257069529634</v>
      </c>
      <c r="G16" s="14">
        <f t="shared" ref="G16:J16" si="9">IFERROR(SUM(G15/G13),0)</f>
        <v>-1.4764813156933951</v>
      </c>
      <c r="H16" s="14">
        <f t="shared" si="9"/>
        <v>0.9396715032367029</v>
      </c>
      <c r="I16" s="14">
        <f t="shared" si="9"/>
        <v>0.83318920879511649</v>
      </c>
      <c r="J16" s="14">
        <f t="shared" si="9"/>
        <v>0.54923894868824108</v>
      </c>
      <c r="K16" s="14">
        <f>IFERROR(SUM(K15/K13),0)</f>
        <v>1.3694302260762401</v>
      </c>
      <c r="L16" s="14">
        <f>IFERROR(SUM(L15/L13),0)</f>
        <v>-1.0407483359857945</v>
      </c>
      <c r="M16" s="14">
        <f>IFERROR(SUM(M15/M13),0)</f>
        <v>5.8793291138399777</v>
      </c>
    </row>
    <row r="17" spans="1:23" ht="48" x14ac:dyDescent="0.2">
      <c r="A17" s="6" t="s">
        <v>50</v>
      </c>
      <c r="B17" s="7" t="s">
        <v>51</v>
      </c>
      <c r="C17" s="33" t="str">
        <f>IF(C4&gt;=0, "Normal", "Risk")</f>
        <v>Normal</v>
      </c>
      <c r="D17" s="33" t="str">
        <f>IF(D4&gt;=0, "Normal", "Risk")</f>
        <v>Normal</v>
      </c>
      <c r="E17" s="33" t="str">
        <f>IF(E4&gt;=0, "Normal", "Risk")</f>
        <v>Normal</v>
      </c>
      <c r="F17" s="33" t="str">
        <f>IF(F4&gt;=0, "Normal", "Risk")</f>
        <v>Normal</v>
      </c>
      <c r="G17" s="33" t="str">
        <f t="shared" ref="G17:J17" si="10">IF(G4&gt;=0, "Normal", "Risk")</f>
        <v>Normal</v>
      </c>
      <c r="H17" s="33" t="str">
        <f t="shared" si="10"/>
        <v>Normal</v>
      </c>
      <c r="I17" s="33" t="str">
        <f t="shared" si="10"/>
        <v>Normal</v>
      </c>
      <c r="J17" s="33" t="str">
        <f t="shared" si="10"/>
        <v>Normal</v>
      </c>
      <c r="K17" s="33" t="str">
        <f>IF(K4&gt;=0, "Normal", "Risk")</f>
        <v>Normal</v>
      </c>
      <c r="L17" s="33" t="str">
        <f>IF(L4&gt;=0, "Normal", "Risk")</f>
        <v>Normal</v>
      </c>
      <c r="M17" s="33" t="str">
        <f>IF(M4&gt;=0, "Normal", "Risk")</f>
        <v>Normal</v>
      </c>
      <c r="S17" s="4"/>
      <c r="T17" s="4"/>
      <c r="U17" s="4"/>
      <c r="V17" s="4"/>
      <c r="W17" s="4"/>
    </row>
    <row r="18" spans="1:23" ht="48" x14ac:dyDescent="0.2">
      <c r="A18" s="6" t="s">
        <v>52</v>
      </c>
      <c r="B18" s="7" t="s">
        <v>53</v>
      </c>
      <c r="C18" s="33" t="str">
        <f>IF(C9&gt;=0, "Normal", "Risk")</f>
        <v>Normal</v>
      </c>
      <c r="D18" s="33" t="str">
        <f>IF(D9&gt;=0, "Normal", "Risk")</f>
        <v>Risk</v>
      </c>
      <c r="E18" s="33" t="str">
        <f>IF(E9&gt;=0, "Normal", "Risk")</f>
        <v>Risk</v>
      </c>
      <c r="F18" s="33" t="str">
        <f>IF(F9&gt;=0, "Normal", "Risk")</f>
        <v>Normal</v>
      </c>
      <c r="G18" s="33" t="str">
        <f t="shared" ref="G18:J18" si="11">IF(G9&gt;=0, "Normal", "Risk")</f>
        <v>Risk</v>
      </c>
      <c r="H18" s="33" t="str">
        <f t="shared" si="11"/>
        <v>Normal</v>
      </c>
      <c r="I18" s="33" t="str">
        <f t="shared" si="11"/>
        <v>Normal</v>
      </c>
      <c r="J18" s="33" t="str">
        <f t="shared" si="11"/>
        <v>Normal</v>
      </c>
      <c r="K18" s="33" t="str">
        <f>IF(K9&gt;=0, "Normal", "Risk")</f>
        <v>Risk</v>
      </c>
      <c r="L18" s="33" t="str">
        <f>IF(L9&gt;=0, "Normal", "Risk")</f>
        <v>Normal</v>
      </c>
      <c r="M18" s="33" t="str">
        <f>IF(M9&gt;=0, "Normal", "Risk")</f>
        <v>Risk</v>
      </c>
      <c r="S18" s="4"/>
      <c r="T18" s="4"/>
      <c r="U18" s="4"/>
      <c r="V18" s="4"/>
      <c r="W18" s="4"/>
    </row>
    <row r="19" spans="1:23" ht="48" x14ac:dyDescent="0.2">
      <c r="A19" s="6" t="s">
        <v>54</v>
      </c>
      <c r="B19" s="7" t="s">
        <v>55</v>
      </c>
      <c r="C19" s="33" t="str">
        <f>IF(C16&gt;1, "Normal", "Risk")</f>
        <v>Normal</v>
      </c>
      <c r="D19" s="33" t="str">
        <f>IF(D16&gt;1, "Normal", "Risk")</f>
        <v>Risk</v>
      </c>
      <c r="E19" s="33" t="str">
        <f>IF(E16&gt;1, "Normal", "Risk")</f>
        <v>Risk</v>
      </c>
      <c r="F19" s="33" t="str">
        <f>IF(F16&gt;1, "Normal", "Risk")</f>
        <v>Risk</v>
      </c>
      <c r="G19" s="33" t="str">
        <f t="shared" ref="G19:J19" si="12">IF(G16&gt;1, "Normal", "Risk")</f>
        <v>Risk</v>
      </c>
      <c r="H19" s="33" t="str">
        <f t="shared" si="12"/>
        <v>Risk</v>
      </c>
      <c r="I19" s="33" t="str">
        <f t="shared" si="12"/>
        <v>Risk</v>
      </c>
      <c r="J19" s="33" t="str">
        <f t="shared" si="12"/>
        <v>Risk</v>
      </c>
      <c r="K19" s="33" t="str">
        <f>IF(K16&gt;1, "Normal", "Risk")</f>
        <v>Normal</v>
      </c>
      <c r="L19" s="33" t="str">
        <f>IF(L16&gt;1, "Normal", "Risk")</f>
        <v>Risk</v>
      </c>
      <c r="M19" s="33" t="str">
        <f>IF(M16&gt;1, "Normal", "Risk")</f>
        <v>Normal</v>
      </c>
      <c r="S19" s="4"/>
      <c r="T19" s="4"/>
      <c r="U19" s="4"/>
      <c r="V19" s="4"/>
      <c r="W19" s="4"/>
    </row>
    <row r="20" spans="1:23" x14ac:dyDescent="0.2">
      <c r="A20" s="34"/>
      <c r="B20" s="6" t="s">
        <v>56</v>
      </c>
      <c r="C20" s="35">
        <f>IF(AND(C17="Normal",C18="Normal",C19="Normal"),1,IF(AND(C17="Normal",C18="Normal",C19="Risk"),2,IF(AND(C17="Normal",C18="Risk",C19="Normal"),3,IF(AND(C17="Normal",C18="Risk",C19="Risk"),4,IF(AND(C17="Risk",C18="Normal",C19="Normal"),5,IF(AND(C17="Risk",C18="Normal",C19="Risk"),6,IF(AND(C17="Risk",C18="Risk",C19="Normal"),7,IF(AND(C17="Risk",C18="Risk",C19="Risk"),8,"Unknows"))))))))</f>
        <v>1</v>
      </c>
      <c r="D20" s="35">
        <f>IF(AND(D17="Normal",D18="Normal",D19="Normal"),1,IF(AND(D17="Normal",D18="Normal",D19="Risk"),2,IF(AND(D17="Normal",D18="Risk",D19="Normal"),3,IF(AND(D17="Normal",D18="Risk",D19="Risk"),4,IF(AND(D17="Risk",D18="Normal",D19="Normal"),5,IF(AND(D17="Risk",D18="Normal",D19="Risk"),6,IF(AND(D17="Risk",D18="Risk",D19="Normal"),7,IF(AND(D17="Risk",D18="Risk",D19="Risk"),8,"Unknows"))))))))</f>
        <v>4</v>
      </c>
      <c r="E20" s="35">
        <f>IF(AND(E17="Normal",E18="Normal",E19="Normal"),1,IF(AND(E17="Normal",E18="Normal",E19="Risk"),2,IF(AND(E17="Normal",E18="Risk",E19="Normal"),3,IF(AND(E17="Normal",E18="Risk",E19="Risk"),4,IF(AND(E17="Risk",E18="Normal",E19="Normal"),5,IF(AND(E17="Risk",E18="Normal",E19="Risk"),6,IF(AND(E17="Risk",E18="Risk",E19="Normal"),7,IF(AND(E17="Risk",E18="Risk",E19="Risk"),8,"Unknows"))))))))</f>
        <v>4</v>
      </c>
      <c r="F20" s="35">
        <f>IF(AND(F17="Normal",F18="Normal",F19="Normal"),1,IF(AND(F17="Normal",F18="Normal",F19="Risk"),2,IF(AND(F17="Normal",F18="Risk",F19="Normal"),3,IF(AND(F17="Normal",F18="Risk",F19="Risk"),4,IF(AND(F17="Risk",F18="Normal",F19="Normal"),5,IF(AND(F17="Risk",F18="Normal",F19="Risk"),6,IF(AND(F17="Risk",F18="Risk",F19="Normal"),7,IF(AND(F17="Risk",F18="Risk",F19="Risk"),8,"Unknows"))))))))</f>
        <v>2</v>
      </c>
      <c r="G20" s="35">
        <f t="shared" ref="G20:J20" si="13">IF(AND(G17="Normal",G18="Normal",G19="Normal"),1,IF(AND(G17="Normal",G18="Normal",G19="Risk"),2,IF(AND(G17="Normal",G18="Risk",G19="Normal"),3,IF(AND(G17="Normal",G18="Risk",G19="Risk"),4,IF(AND(G17="Risk",G18="Normal",G19="Normal"),5,IF(AND(G17="Risk",G18="Normal",G19="Risk"),6,IF(AND(G17="Risk",G18="Risk",G19="Normal"),7,IF(AND(G17="Risk",G18="Risk",G19="Risk"),8,"Unknows"))))))))</f>
        <v>4</v>
      </c>
      <c r="H20" s="35">
        <f t="shared" si="13"/>
        <v>2</v>
      </c>
      <c r="I20" s="35">
        <f t="shared" si="13"/>
        <v>2</v>
      </c>
      <c r="J20" s="35">
        <f t="shared" si="13"/>
        <v>2</v>
      </c>
      <c r="K20" s="35">
        <f>IF(AND(K17="Normal",K18="Normal",K19="Normal"),1,IF(AND(K17="Normal",K18="Normal",K19="Risk"),2,IF(AND(K17="Normal",K18="Risk",K19="Normal"),3,IF(AND(K17="Normal",K18="Risk",K19="Risk"),4,IF(AND(K17="Risk",K18="Normal",K19="Normal"),5,IF(AND(K17="Risk",K18="Normal",K19="Risk"),6,IF(AND(K17="Risk",K18="Risk",K19="Normal"),7,IF(AND(K17="Risk",K18="Risk",K19="Risk"),8,"Unknows"))))))))</f>
        <v>3</v>
      </c>
      <c r="L20" s="35">
        <f>IF(AND(L17="Normal",L18="Normal",L19="Normal"),1,IF(AND(L17="Normal",L18="Normal",L19="Risk"),2,IF(AND(L17="Normal",L18="Risk",L19="Normal"),3,IF(AND(L17="Normal",L18="Risk",L19="Risk"),4,IF(AND(L17="Risk",L18="Normal",L19="Normal"),5,IF(AND(L17="Risk",L18="Normal",L19="Risk"),6,IF(AND(L17="Risk",L18="Risk",L19="Normal"),7,IF(AND(L17="Risk",L18="Risk",L19="Risk"),8,"Unknows"))))))))</f>
        <v>2</v>
      </c>
      <c r="M20" s="35">
        <f>IF(AND(M17="Normal",M18="Normal",M19="Normal"),1,IF(AND(M17="Normal",M18="Normal",M19="Risk"),2,IF(AND(M17="Normal",M18="Risk",M19="Normal"),3,IF(AND(M17="Normal",M18="Risk",M19="Risk"),4,IF(AND(M17="Risk",M18="Normal",M19="Normal"),5,IF(AND(M17="Risk",M18="Normal",M19="Risk"),6,IF(AND(M17="Risk",M18="Risk",M19="Normal"),7,IF(AND(M17="Risk",M18="Risk",M19="Risk"),8,"Unknows"))))))))</f>
        <v>3</v>
      </c>
      <c r="S20" s="4"/>
      <c r="T20" s="4"/>
      <c r="U20" s="4"/>
      <c r="V20" s="4"/>
      <c r="W20" s="4"/>
    </row>
    <row r="21" spans="1:23" ht="120" x14ac:dyDescent="0.2">
      <c r="A21" s="36"/>
      <c r="B21" s="37" t="s">
        <v>57</v>
      </c>
      <c r="C21" s="38" t="str">
        <f>VLOOKUP(C20,$S$4:$W$12,5,0)</f>
        <v xml:space="preserve"> ไม่ต้องปรับ</v>
      </c>
      <c r="D21" s="38" t="str">
        <f>VLOOKUP(D20,$S$4:$W$12,5,0)</f>
        <v xml:space="preserve"> ปรับลดการลงทุนให้ &lt; 20% EBITDA เพื่อเงินเหลือจาก EBITDA – ลงทุนจะไปเพิ่ม NWC  ทำ Feasibility study</v>
      </c>
      <c r="E21" s="38" t="str">
        <f>VLOOKUP(E20,$S$4:$W$12,5,0)</f>
        <v xml:space="preserve"> ปรับลดการลงทุนให้ &lt; 20% EBITDA เพื่อเงินเหลือจาก EBITDA – ลงทุนจะไปเพิ่ม NWC  ทำ Feasibility study</v>
      </c>
      <c r="F21" s="38" t="str">
        <f>VLOOKUP(F20,$S$4:$W$12,5,0)</f>
        <v xml:space="preserve">ทบทวนการลงทุนอีกครั้ง </v>
      </c>
      <c r="G21" s="38" t="str">
        <f t="shared" ref="G21:J21" si="14">VLOOKUP(G20,$S$4:$W$12,5,0)</f>
        <v xml:space="preserve"> ปรับลดการลงทุนให้ &lt; 20% EBITDA เพื่อเงินเหลือจาก EBITDA – ลงทุนจะไปเพิ่ม NWC  ทำ Feasibility study</v>
      </c>
      <c r="H21" s="38" t="str">
        <f t="shared" si="14"/>
        <v xml:space="preserve">ทบทวนการลงทุนอีกครั้ง </v>
      </c>
      <c r="I21" s="38" t="str">
        <f t="shared" si="14"/>
        <v xml:space="preserve">ทบทวนการลงทุนอีกครั้ง </v>
      </c>
      <c r="J21" s="38" t="str">
        <f t="shared" si="14"/>
        <v xml:space="preserve">ทบทวนการลงทุนอีกครั้ง </v>
      </c>
      <c r="K21" s="38" t="str">
        <f>VLOOKUP(K20,$S$4:$W$12,5,0)</f>
        <v>ทบทวนการลงทุนอีกครั้ง ทำFeasibility study</v>
      </c>
      <c r="L21" s="38" t="str">
        <f>VLOOKUP(L20,$S$4:$W$12,5,0)</f>
        <v xml:space="preserve">ทบทวนการลงทุนอีกครั้ง </v>
      </c>
      <c r="M21" s="38" t="str">
        <f>VLOOKUP(M20,$S$4:$W$12,5,0)</f>
        <v>ทบทวนการลงทุนอีกครั้ง ทำFeasibility study</v>
      </c>
      <c r="S21" s="4"/>
      <c r="T21" s="4"/>
      <c r="U21" s="4"/>
      <c r="V21" s="4"/>
      <c r="W21" s="4"/>
    </row>
  </sheetData>
  <mergeCells count="2">
    <mergeCell ref="W2:W3"/>
    <mergeCell ref="A9:A10"/>
  </mergeCells>
  <conditionalFormatting sqref="D22:D1048576">
    <cfRule type="containsText" dxfId="153" priority="61" operator="containsText" text="เกินดุล">
      <formula>NOT(ISERROR(SEARCH("เกินดุล",D22)))</formula>
    </cfRule>
    <cfRule type="containsText" dxfId="152" priority="62" operator="containsText" text="สมดุล">
      <formula>NOT(ISERROR(SEARCH("สมดุล",D22)))</formula>
    </cfRule>
    <cfRule type="containsText" dxfId="151" priority="63" operator="containsText" text="ขาดดุล">
      <formula>NOT(ISERROR(SEARCH("ขาดดุล",D22)))</formula>
    </cfRule>
    <cfRule type="containsText" dxfId="150" priority="64" operator="containsText" text="สมดุล">
      <formula>NOT(ISERROR(SEARCH("สมดุล",D22)))</formula>
    </cfRule>
  </conditionalFormatting>
  <conditionalFormatting sqref="A5:I5">
    <cfRule type="containsText" dxfId="149" priority="57" operator="containsText" text="เกินดุล">
      <formula>NOT(ISERROR(SEARCH("เกินดุล",A5)))</formula>
    </cfRule>
    <cfRule type="containsText" dxfId="148" priority="58" operator="containsText" text="สมดุล">
      <formula>NOT(ISERROR(SEARCH("สมดุล",A5)))</formula>
    </cfRule>
    <cfRule type="containsText" dxfId="147" priority="59" operator="containsText" text="ขาดดุล">
      <formula>NOT(ISERROR(SEARCH("ขาดดุล",A5)))</formula>
    </cfRule>
    <cfRule type="containsText" dxfId="146" priority="60" operator="containsText" text="สมดุล">
      <formula>NOT(ISERROR(SEARCH("สมดุล",A5)))</formula>
    </cfRule>
  </conditionalFormatting>
  <conditionalFormatting sqref="C9:I9">
    <cfRule type="cellIs" dxfId="145" priority="56" operator="lessThan">
      <formula>0</formula>
    </cfRule>
  </conditionalFormatting>
  <conditionalFormatting sqref="C20:I20">
    <cfRule type="cellIs" dxfId="144" priority="47" operator="equal">
      <formula>8</formula>
    </cfRule>
    <cfRule type="cellIs" dxfId="143" priority="48" operator="equal">
      <formula>7</formula>
    </cfRule>
    <cfRule type="cellIs" dxfId="142" priority="49" operator="equal">
      <formula>6</formula>
    </cfRule>
    <cfRule type="cellIs" dxfId="141" priority="50" operator="equal">
      <formula>5</formula>
    </cfRule>
    <cfRule type="cellIs" dxfId="140" priority="51" operator="equal">
      <formula>4</formula>
    </cfRule>
    <cfRule type="cellIs" dxfId="139" priority="52" operator="equal">
      <formula>3</formula>
    </cfRule>
    <cfRule type="cellIs" dxfId="138" priority="53" operator="equal">
      <formula>2</formula>
    </cfRule>
    <cfRule type="cellIs" dxfId="137" priority="54" operator="equal">
      <formula>1</formula>
    </cfRule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ntainsText" dxfId="136" priority="43" operator="containsText" text="เกินดุล">
      <formula>NOT(ISERROR(SEARCH("เกินดุล",J5)))</formula>
    </cfRule>
    <cfRule type="containsText" dxfId="135" priority="44" operator="containsText" text="สมดุล">
      <formula>NOT(ISERROR(SEARCH("สมดุล",J5)))</formula>
    </cfRule>
    <cfRule type="containsText" dxfId="134" priority="45" operator="containsText" text="ขาดดุล">
      <formula>NOT(ISERROR(SEARCH("ขาดดุล",J5)))</formula>
    </cfRule>
    <cfRule type="containsText" dxfId="133" priority="46" operator="containsText" text="สมดุล">
      <formula>NOT(ISERROR(SEARCH("สมดุล",J5)))</formula>
    </cfRule>
  </conditionalFormatting>
  <conditionalFormatting sqref="J9">
    <cfRule type="cellIs" dxfId="132" priority="42" operator="lessThan">
      <formula>0</formula>
    </cfRule>
  </conditionalFormatting>
  <conditionalFormatting sqref="J20">
    <cfRule type="cellIs" dxfId="131" priority="33" operator="equal">
      <formula>8</formula>
    </cfRule>
    <cfRule type="cellIs" dxfId="130" priority="34" operator="equal">
      <formula>7</formula>
    </cfRule>
    <cfRule type="cellIs" dxfId="129" priority="35" operator="equal">
      <formula>6</formula>
    </cfRule>
    <cfRule type="cellIs" dxfId="128" priority="36" operator="equal">
      <formula>5</formula>
    </cfRule>
    <cfRule type="cellIs" dxfId="127" priority="37" operator="equal">
      <formula>4</formula>
    </cfRule>
    <cfRule type="cellIs" dxfId="126" priority="38" operator="equal">
      <formula>3</formula>
    </cfRule>
    <cfRule type="cellIs" dxfId="125" priority="39" operator="equal">
      <formula>2</formula>
    </cfRule>
    <cfRule type="cellIs" dxfId="124" priority="40" operator="equal">
      <formula>1</formula>
    </cfRule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L1048576">
    <cfRule type="containsText" dxfId="123" priority="29" operator="containsText" text="เกินดุล">
      <formula>NOT(ISERROR(SEARCH("เกินดุล",L22)))</formula>
    </cfRule>
    <cfRule type="containsText" dxfId="122" priority="30" operator="containsText" text="สมดุล">
      <formula>NOT(ISERROR(SEARCH("สมดุล",L22)))</formula>
    </cfRule>
    <cfRule type="containsText" dxfId="121" priority="31" operator="containsText" text="ขาดดุล">
      <formula>NOT(ISERROR(SEARCH("ขาดดุล",L22)))</formula>
    </cfRule>
    <cfRule type="containsText" dxfId="120" priority="32" operator="containsText" text="สมดุล">
      <formula>NOT(ISERROR(SEARCH("สมดุล",L22)))</formula>
    </cfRule>
  </conditionalFormatting>
  <conditionalFormatting sqref="K5:M5">
    <cfRule type="containsText" dxfId="119" priority="25" operator="containsText" text="เกินดุล">
      <formula>NOT(ISERROR(SEARCH("เกินดุล",K5)))</formula>
    </cfRule>
    <cfRule type="containsText" dxfId="118" priority="26" operator="containsText" text="สมดุล">
      <formula>NOT(ISERROR(SEARCH("สมดุล",K5)))</formula>
    </cfRule>
    <cfRule type="containsText" dxfId="117" priority="27" operator="containsText" text="ขาดดุล">
      <formula>NOT(ISERROR(SEARCH("ขาดดุล",K5)))</formula>
    </cfRule>
    <cfRule type="containsText" dxfId="116" priority="28" operator="containsText" text="สมดุล">
      <formula>NOT(ISERROR(SEARCH("สมดุล",K5)))</formula>
    </cfRule>
  </conditionalFormatting>
  <conditionalFormatting sqref="K9:M9">
    <cfRule type="cellIs" dxfId="115" priority="24" operator="lessThan">
      <formula>0</formula>
    </cfRule>
  </conditionalFormatting>
  <conditionalFormatting sqref="K20:M20">
    <cfRule type="cellIs" dxfId="114" priority="65" operator="equal">
      <formula>8</formula>
    </cfRule>
    <cfRule type="cellIs" dxfId="113" priority="66" operator="equal">
      <formula>7</formula>
    </cfRule>
    <cfRule type="cellIs" dxfId="112" priority="67" operator="equal">
      <formula>6</formula>
    </cfRule>
    <cfRule type="cellIs" dxfId="111" priority="68" operator="equal">
      <formula>5</formula>
    </cfRule>
    <cfRule type="cellIs" dxfId="110" priority="69" operator="equal">
      <formula>4</formula>
    </cfRule>
    <cfRule type="cellIs" dxfId="109" priority="70" operator="equal">
      <formula>3</formula>
    </cfRule>
    <cfRule type="cellIs" dxfId="108" priority="71" operator="equal">
      <formula>2</formula>
    </cfRule>
    <cfRule type="cellIs" dxfId="107" priority="72" operator="equal">
      <formula>1</formula>
    </cfRule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1"/>
  <sheetViews>
    <sheetView topLeftCell="A7" workbookViewId="0">
      <pane xSplit="2" topLeftCell="E1" activePane="topRight" state="frozen"/>
      <selection pane="topRight" activeCell="I20" sqref="I20"/>
    </sheetView>
  </sheetViews>
  <sheetFormatPr defaultColWidth="9.125" defaultRowHeight="24" x14ac:dyDescent="0.2"/>
  <cols>
    <col min="1" max="1" width="19.375" style="39" customWidth="1"/>
    <col min="2" max="2" width="65.75" style="40" customWidth="1"/>
    <col min="3" max="3" width="18.375" style="41" customWidth="1"/>
    <col min="4" max="6" width="18.375" style="3" customWidth="1"/>
    <col min="7" max="10" width="18.375" style="4" customWidth="1"/>
    <col min="11" max="11" width="18.375" style="41" customWidth="1"/>
    <col min="12" max="14" width="18.375" style="3" customWidth="1"/>
    <col min="15" max="18" width="9.125" style="4"/>
    <col min="19" max="19" width="6.375" style="5" hidden="1" customWidth="1"/>
    <col min="20" max="20" width="11.875" style="5" hidden="1" customWidth="1"/>
    <col min="21" max="21" width="12.375" style="5" hidden="1" customWidth="1"/>
    <col min="22" max="22" width="14" style="5" hidden="1" customWidth="1"/>
    <col min="23" max="23" width="72.375" style="5" hidden="1" customWidth="1"/>
    <col min="24" max="24" width="9.125" style="4" hidden="1" customWidth="1"/>
    <col min="25" max="16384" width="9.125" style="4"/>
  </cols>
  <sheetData>
    <row r="1" spans="1:23" x14ac:dyDescent="0.55000000000000004">
      <c r="A1" s="1" t="s">
        <v>0</v>
      </c>
      <c r="B1" s="2" t="s">
        <v>1</v>
      </c>
      <c r="C1" s="42" t="s">
        <v>104</v>
      </c>
      <c r="D1" s="42" t="s">
        <v>105</v>
      </c>
      <c r="E1" s="45" t="s">
        <v>106</v>
      </c>
      <c r="F1" s="43" t="s">
        <v>107</v>
      </c>
      <c r="G1" s="43" t="s">
        <v>108</v>
      </c>
      <c r="H1" s="43" t="s">
        <v>109</v>
      </c>
      <c r="I1" s="43" t="s">
        <v>110</v>
      </c>
      <c r="J1" s="43" t="s">
        <v>111</v>
      </c>
      <c r="K1" s="42" t="s">
        <v>112</v>
      </c>
      <c r="L1" s="42" t="s">
        <v>113</v>
      </c>
      <c r="M1" s="42" t="s">
        <v>114</v>
      </c>
      <c r="N1" s="42" t="s">
        <v>115</v>
      </c>
    </row>
    <row r="2" spans="1:23" x14ac:dyDescent="0.2">
      <c r="A2" s="6" t="s">
        <v>2</v>
      </c>
      <c r="B2" s="7" t="s">
        <v>3</v>
      </c>
      <c r="C2" s="8">
        <f>2112604200-108136200</f>
        <v>2004468000</v>
      </c>
      <c r="D2" s="8">
        <f>671041318.82-7341318.82</f>
        <v>663700000</v>
      </c>
      <c r="E2" s="8">
        <f>353415505.11-4002400</f>
        <v>349413105.11000001</v>
      </c>
      <c r="F2" s="8">
        <f>117337226.46-2463926.46</f>
        <v>114873300</v>
      </c>
      <c r="G2" s="8">
        <f>119562000-6950000</f>
        <v>112612000</v>
      </c>
      <c r="H2" s="8">
        <f>53151000-2800000</f>
        <v>50351000</v>
      </c>
      <c r="I2" s="8">
        <f>100574573.56-1341405.47</f>
        <v>99233168.090000004</v>
      </c>
      <c r="J2" s="8">
        <f>57067423.46-2758694.01</f>
        <v>54308729.450000003</v>
      </c>
      <c r="K2" s="8">
        <f>67059761.25-1778052.09</f>
        <v>65281709.159999996</v>
      </c>
      <c r="L2" s="8">
        <f>110377536.27-1807536.27</f>
        <v>108570000</v>
      </c>
      <c r="M2" s="8">
        <f>115135270.29-2568970.29</f>
        <v>112566300</v>
      </c>
      <c r="N2" s="8">
        <f>85634400-4194400</f>
        <v>81440000</v>
      </c>
      <c r="S2" s="9"/>
      <c r="T2" s="10" t="s">
        <v>4</v>
      </c>
      <c r="U2" s="11" t="s">
        <v>5</v>
      </c>
      <c r="V2" s="11" t="s">
        <v>6</v>
      </c>
      <c r="W2" s="47"/>
    </row>
    <row r="3" spans="1:23" ht="48.75" thickBot="1" x14ac:dyDescent="0.25">
      <c r="A3" s="6" t="s">
        <v>7</v>
      </c>
      <c r="B3" s="7" t="s">
        <v>8</v>
      </c>
      <c r="C3" s="8">
        <f>2038189400-158583000</f>
        <v>1879606400</v>
      </c>
      <c r="D3" s="8">
        <f>669506500-18000-39000000</f>
        <v>630488500</v>
      </c>
      <c r="E3" s="8">
        <f>327963227.06-75354.85-71189317.15</f>
        <v>256698555.05999997</v>
      </c>
      <c r="F3" s="8">
        <f>119772200-4948900</f>
        <v>114823300</v>
      </c>
      <c r="G3" s="8">
        <f>108782454.85-5640000</f>
        <v>103142454.84999999</v>
      </c>
      <c r="H3" s="8">
        <f>50970000-658800</f>
        <v>50311200</v>
      </c>
      <c r="I3" s="8">
        <f>104782363.13-4250112.73</f>
        <v>100532250.39999999</v>
      </c>
      <c r="J3" s="8">
        <f>54199746.76-3026297.21</f>
        <v>51173449.549999997</v>
      </c>
      <c r="K3" s="8">
        <f>67051200-3777000</f>
        <v>63274200</v>
      </c>
      <c r="L3" s="8">
        <f>118010000-10800000</f>
        <v>107210000</v>
      </c>
      <c r="M3" s="8">
        <f>114859270-4985700</f>
        <v>109873570</v>
      </c>
      <c r="N3" s="8">
        <f>79176900-3705900</f>
        <v>75471000</v>
      </c>
      <c r="S3" s="12"/>
      <c r="T3" s="12"/>
      <c r="U3" s="13" t="s">
        <v>9</v>
      </c>
      <c r="V3" s="12"/>
      <c r="W3" s="48"/>
    </row>
    <row r="4" spans="1:23" ht="49.5" thickTop="1" thickBot="1" x14ac:dyDescent="0.25">
      <c r="A4" s="6" t="s">
        <v>10</v>
      </c>
      <c r="B4" s="7" t="s">
        <v>11</v>
      </c>
      <c r="C4" s="14">
        <f>SUM(C2-C3)</f>
        <v>124861600</v>
      </c>
      <c r="D4" s="14">
        <f>SUM(D2-D3)</f>
        <v>33211500</v>
      </c>
      <c r="E4" s="14">
        <f>SUM(E2-E3)</f>
        <v>92714550.050000042</v>
      </c>
      <c r="F4" s="14">
        <f>SUM(F2-F3)</f>
        <v>50000</v>
      </c>
      <c r="G4" s="14">
        <f t="shared" ref="G4:J4" si="0">SUM(G2-G3)</f>
        <v>9469545.150000006</v>
      </c>
      <c r="H4" s="14">
        <f t="shared" si="0"/>
        <v>39800</v>
      </c>
      <c r="I4" s="14">
        <f t="shared" si="0"/>
        <v>-1299082.3099999875</v>
      </c>
      <c r="J4" s="14">
        <f t="shared" si="0"/>
        <v>3135279.900000006</v>
      </c>
      <c r="K4" s="14">
        <f>SUM(K2-K3)</f>
        <v>2007509.1599999964</v>
      </c>
      <c r="L4" s="14">
        <f>SUM(L2-L3)</f>
        <v>1360000</v>
      </c>
      <c r="M4" s="14">
        <f>SUM(M2-M3)</f>
        <v>2692730</v>
      </c>
      <c r="N4" s="14">
        <f>SUM(N2-N3)</f>
        <v>5969000</v>
      </c>
      <c r="S4" s="15">
        <v>1</v>
      </c>
      <c r="T4" s="15" t="s">
        <v>12</v>
      </c>
      <c r="U4" s="15" t="s">
        <v>13</v>
      </c>
      <c r="V4" s="15" t="s">
        <v>14</v>
      </c>
      <c r="W4" s="16" t="s">
        <v>15</v>
      </c>
    </row>
    <row r="5" spans="1:23" ht="24.75" thickBot="1" x14ac:dyDescent="0.25">
      <c r="A5" s="6" t="s">
        <v>16</v>
      </c>
      <c r="B5" s="7" t="s">
        <v>17</v>
      </c>
      <c r="C5" s="17" t="str">
        <f>IF(C4&gt;0,"เกินดุล",IF(C4=0,"สมดุล","ขาดดุล"))</f>
        <v>เกินดุล</v>
      </c>
      <c r="D5" s="17" t="str">
        <f>IF(D4&gt;0,"เกินดุล",IF(D4=0,"สมดุล","ขาดดุล"))</f>
        <v>เกินดุล</v>
      </c>
      <c r="E5" s="17" t="str">
        <f>IF(E4&gt;0,"เกินดุล",IF(E4=0,"สมดุล","ขาดดุล"))</f>
        <v>เกินดุล</v>
      </c>
      <c r="F5" s="17" t="str">
        <f>IF(F4&gt;0,"เกินดุล",IF(F4=0,"สมดุล","ขาดดุล"))</f>
        <v>เกินดุล</v>
      </c>
      <c r="G5" s="17" t="str">
        <f t="shared" ref="G5:J5" si="1">IF(G4&gt;0,"เกินดุล",IF(G4=0,"สมดุล","ขาดดุล"))</f>
        <v>เกินดุล</v>
      </c>
      <c r="H5" s="17" t="str">
        <f t="shared" si="1"/>
        <v>เกินดุล</v>
      </c>
      <c r="I5" s="17" t="str">
        <f t="shared" si="1"/>
        <v>ขาดดุล</v>
      </c>
      <c r="J5" s="17" t="str">
        <f t="shared" si="1"/>
        <v>เกินดุล</v>
      </c>
      <c r="K5" s="17" t="str">
        <f>IF(K4&gt;0,"เกินดุล",IF(K4=0,"สมดุล","ขาดดุล"))</f>
        <v>เกินดุล</v>
      </c>
      <c r="L5" s="17" t="str">
        <f>IF(L4&gt;0,"เกินดุล",IF(L4=0,"สมดุล","ขาดดุล"))</f>
        <v>เกินดุล</v>
      </c>
      <c r="M5" s="17" t="str">
        <f>IF(M4&gt;0,"เกินดุล",IF(M4=0,"สมดุล","ขาดดุล"))</f>
        <v>เกินดุล</v>
      </c>
      <c r="N5" s="17" t="str">
        <f>IF(N4&gt;0,"เกินดุล",IF(N4=0,"สมดุล","ขาดดุล"))</f>
        <v>เกินดุล</v>
      </c>
      <c r="S5" s="18">
        <v>2</v>
      </c>
      <c r="T5" s="18" t="s">
        <v>12</v>
      </c>
      <c r="U5" s="18" t="s">
        <v>13</v>
      </c>
      <c r="V5" s="19" t="s">
        <v>18</v>
      </c>
      <c r="W5" s="20" t="s">
        <v>19</v>
      </c>
    </row>
    <row r="6" spans="1:23" ht="24.75" thickBot="1" x14ac:dyDescent="0.25">
      <c r="A6" s="6" t="s">
        <v>20</v>
      </c>
      <c r="B6" s="7" t="s">
        <v>21</v>
      </c>
      <c r="C6" s="14">
        <f>IF(C4&lt;=0,0,ROUNDUP((C4*20%),2))</f>
        <v>24972320</v>
      </c>
      <c r="D6" s="14">
        <f>IF(D4&lt;=0,0,ROUNDUP((D4*20%),2))</f>
        <v>6642300</v>
      </c>
      <c r="E6" s="14">
        <f>IF(E4&lt;=0,0,ROUNDUP((E4*20%),2))</f>
        <v>18542910.010000002</v>
      </c>
      <c r="F6" s="14">
        <f>IF(F4&lt;=0,0,ROUNDUP((F4*20%),2))</f>
        <v>10000</v>
      </c>
      <c r="G6" s="14">
        <f t="shared" ref="G6:J6" si="2">IF(G4&lt;=0,0,ROUNDUP((G4*20%),2))</f>
        <v>1893909.03</v>
      </c>
      <c r="H6" s="14">
        <f t="shared" si="2"/>
        <v>7960</v>
      </c>
      <c r="I6" s="14">
        <f t="shared" si="2"/>
        <v>0</v>
      </c>
      <c r="J6" s="14">
        <f t="shared" si="2"/>
        <v>627055.99</v>
      </c>
      <c r="K6" s="14">
        <f>IF(K4&lt;=0,0,ROUNDUP((K4*20%),2))</f>
        <v>401501.84</v>
      </c>
      <c r="L6" s="14">
        <f>IF(L4&lt;=0,0,ROUNDUP((L4*20%),2))</f>
        <v>272000</v>
      </c>
      <c r="M6" s="14">
        <f>IF(M4&lt;=0,0,ROUNDUP((M4*20%),2))</f>
        <v>538546</v>
      </c>
      <c r="N6" s="14">
        <f>IF(N4&lt;=0,0,ROUNDUP((N4*20%),2))</f>
        <v>1193800</v>
      </c>
      <c r="S6" s="21">
        <v>3</v>
      </c>
      <c r="T6" s="21" t="s">
        <v>12</v>
      </c>
      <c r="U6" s="21" t="s">
        <v>22</v>
      </c>
      <c r="V6" s="21" t="s">
        <v>14</v>
      </c>
      <c r="W6" s="22" t="s">
        <v>23</v>
      </c>
    </row>
    <row r="7" spans="1:23" ht="24.75" thickBot="1" x14ac:dyDescent="0.25">
      <c r="A7" s="6" t="s">
        <v>24</v>
      </c>
      <c r="B7" s="7" t="s">
        <v>25</v>
      </c>
      <c r="C7" s="14">
        <f>SUM([1]Planfin2563!C91)</f>
        <v>0</v>
      </c>
      <c r="D7" s="14">
        <v>4910000</v>
      </c>
      <c r="E7" s="14">
        <f>SUM([1]Planfin2563!E91)</f>
        <v>0</v>
      </c>
      <c r="F7" s="14">
        <f>SUM([1]Planfin2563!F91)</f>
        <v>0</v>
      </c>
      <c r="G7" s="14">
        <v>13500000</v>
      </c>
      <c r="H7" s="14">
        <f>SUM([1]Planfin2563!H91)</f>
        <v>0</v>
      </c>
      <c r="I7" s="14">
        <f>SUM([1]Planfin2563!I91)</f>
        <v>0</v>
      </c>
      <c r="J7" s="14">
        <f>SUM([1]Planfin2563!J91)</f>
        <v>0</v>
      </c>
      <c r="K7" s="14">
        <f>SUM([1]Planfin2563!K91)</f>
        <v>0</v>
      </c>
      <c r="L7" s="14">
        <v>31300</v>
      </c>
      <c r="M7" s="14">
        <v>487555</v>
      </c>
      <c r="N7" s="14">
        <f>SUM([1]Planfin2563!N91)</f>
        <v>0</v>
      </c>
      <c r="S7" s="23">
        <v>4</v>
      </c>
      <c r="T7" s="23" t="s">
        <v>12</v>
      </c>
      <c r="U7" s="23" t="s">
        <v>22</v>
      </c>
      <c r="V7" s="24" t="s">
        <v>18</v>
      </c>
      <c r="W7" s="25" t="s">
        <v>26</v>
      </c>
    </row>
    <row r="8" spans="1:23" ht="24.75" thickBot="1" x14ac:dyDescent="0.25">
      <c r="A8" s="6" t="s">
        <v>27</v>
      </c>
      <c r="B8" s="7" t="s">
        <v>28</v>
      </c>
      <c r="C8" s="14">
        <f>IF(C4=0,0,(C7/C4)*100)</f>
        <v>0</v>
      </c>
      <c r="D8" s="14">
        <f>IF(D4=0,0,(D7/D4)*100)</f>
        <v>14.784035650301853</v>
      </c>
      <c r="E8" s="14">
        <f>IF(E4=0,0,(E7/E4)*100)</f>
        <v>0</v>
      </c>
      <c r="F8" s="14">
        <f>IF(F4=0,0,(F7/F4)*100)</f>
        <v>0</v>
      </c>
      <c r="G8" s="14">
        <f t="shared" ref="G8:J8" si="3">IF(G4=0,0,(G7/G4)*100)</f>
        <v>142.56228558137232</v>
      </c>
      <c r="H8" s="14">
        <f t="shared" si="3"/>
        <v>0</v>
      </c>
      <c r="I8" s="14">
        <f t="shared" si="3"/>
        <v>0</v>
      </c>
      <c r="J8" s="14">
        <f t="shared" si="3"/>
        <v>0</v>
      </c>
      <c r="K8" s="14">
        <f>IF(K4=0,0,(K7/K4)*100)</f>
        <v>0</v>
      </c>
      <c r="L8" s="14">
        <f>IF(L4=0,0,(L7/L4)*100)</f>
        <v>2.3014705882352939</v>
      </c>
      <c r="M8" s="14">
        <f>IF(M4=0,0,(M7/M4)*100)</f>
        <v>18.106345604646584</v>
      </c>
      <c r="N8" s="14">
        <f>IF(N4=0,0,(N7/N4)*100)</f>
        <v>0</v>
      </c>
      <c r="S8" s="26">
        <v>5</v>
      </c>
      <c r="T8" s="27" t="s">
        <v>18</v>
      </c>
      <c r="U8" s="27" t="s">
        <v>29</v>
      </c>
      <c r="V8" s="26" t="s">
        <v>14</v>
      </c>
      <c r="W8" s="28" t="s">
        <v>30</v>
      </c>
    </row>
    <row r="9" spans="1:23" ht="24.75" thickBot="1" x14ac:dyDescent="0.25">
      <c r="A9" s="49" t="s">
        <v>31</v>
      </c>
      <c r="B9" s="7" t="s">
        <v>32</v>
      </c>
      <c r="C9" s="14">
        <f>C6-C7</f>
        <v>24972320</v>
      </c>
      <c r="D9" s="14">
        <f>D6-D7</f>
        <v>1732300</v>
      </c>
      <c r="E9" s="14">
        <f>E6-E7</f>
        <v>18542910.010000002</v>
      </c>
      <c r="F9" s="14">
        <f>F6-F7</f>
        <v>10000</v>
      </c>
      <c r="G9" s="14">
        <f t="shared" ref="G9:J9" si="4">G6-G7</f>
        <v>-11606090.970000001</v>
      </c>
      <c r="H9" s="14">
        <f t="shared" si="4"/>
        <v>7960</v>
      </c>
      <c r="I9" s="14">
        <f t="shared" si="4"/>
        <v>0</v>
      </c>
      <c r="J9" s="14">
        <f t="shared" si="4"/>
        <v>627055.99</v>
      </c>
      <c r="K9" s="14">
        <f>K6-K7</f>
        <v>401501.84</v>
      </c>
      <c r="L9" s="14">
        <f>L6-L7</f>
        <v>240700</v>
      </c>
      <c r="M9" s="14">
        <f>M6-M7</f>
        <v>50991</v>
      </c>
      <c r="N9" s="14">
        <f>N6-N7</f>
        <v>1193800</v>
      </c>
      <c r="S9" s="23">
        <v>6</v>
      </c>
      <c r="T9" s="24" t="s">
        <v>18</v>
      </c>
      <c r="U9" s="24" t="s">
        <v>29</v>
      </c>
      <c r="V9" s="24" t="s">
        <v>33</v>
      </c>
      <c r="W9" s="25" t="s">
        <v>34</v>
      </c>
    </row>
    <row r="10" spans="1:23" ht="24.75" thickBot="1" x14ac:dyDescent="0.25">
      <c r="A10" s="49"/>
      <c r="B10" s="7" t="s">
        <v>35</v>
      </c>
      <c r="C10" s="29" t="str">
        <f>IF(C9&gt;=0,"ไม่เกิน","เกิน")</f>
        <v>ไม่เกิน</v>
      </c>
      <c r="D10" s="29" t="str">
        <f>IF(D9&gt;=0,"ไม่เกิน","เกิน")</f>
        <v>ไม่เกิน</v>
      </c>
      <c r="E10" s="29" t="str">
        <f>IF(E9&gt;=0,"ไม่เกิน","เกิน")</f>
        <v>ไม่เกิน</v>
      </c>
      <c r="F10" s="29" t="str">
        <f>IF(F9&gt;=0,"ไม่เกิน","เกิน")</f>
        <v>ไม่เกิน</v>
      </c>
      <c r="G10" s="29" t="str">
        <f t="shared" ref="G10:J10" si="5">IF(G9&gt;=0,"ไม่เกิน","เกิน")</f>
        <v>เกิน</v>
      </c>
      <c r="H10" s="29" t="str">
        <f t="shared" si="5"/>
        <v>ไม่เกิน</v>
      </c>
      <c r="I10" s="29" t="str">
        <f t="shared" si="5"/>
        <v>ไม่เกิน</v>
      </c>
      <c r="J10" s="29" t="str">
        <f t="shared" si="5"/>
        <v>ไม่เกิน</v>
      </c>
      <c r="K10" s="29" t="str">
        <f>IF(K9&gt;=0,"ไม่เกิน","เกิน")</f>
        <v>ไม่เกิน</v>
      </c>
      <c r="L10" s="29" t="str">
        <f>IF(L9&gt;=0,"ไม่เกิน","เกิน")</f>
        <v>ไม่เกิน</v>
      </c>
      <c r="M10" s="29" t="str">
        <f>IF(M9&gt;=0,"ไม่เกิน","เกิน")</f>
        <v>ไม่เกิน</v>
      </c>
      <c r="N10" s="29" t="str">
        <f>IF(N9&gt;=0,"ไม่เกิน","เกิน")</f>
        <v>ไม่เกิน</v>
      </c>
      <c r="S10" s="23"/>
      <c r="T10" s="24"/>
      <c r="U10" s="24"/>
      <c r="V10" s="24"/>
      <c r="W10" s="25"/>
    </row>
    <row r="11" spans="1:23" ht="24.75" thickBot="1" x14ac:dyDescent="0.25">
      <c r="A11" s="6" t="s">
        <v>36</v>
      </c>
      <c r="B11" s="7" t="s">
        <v>37</v>
      </c>
      <c r="C11" s="14">
        <v>170540302.55000001</v>
      </c>
      <c r="D11" s="14">
        <v>-21044308.77</v>
      </c>
      <c r="E11" s="14">
        <v>33216387.579999998</v>
      </c>
      <c r="F11" s="14">
        <v>3289625.85</v>
      </c>
      <c r="G11" s="14">
        <v>48774004.479999997</v>
      </c>
      <c r="H11" s="14">
        <v>9902686.3000000007</v>
      </c>
      <c r="I11" s="14">
        <v>6246870.5300000003</v>
      </c>
      <c r="J11" s="14">
        <v>8328353.9900000002</v>
      </c>
      <c r="K11" s="14">
        <v>3023980.91</v>
      </c>
      <c r="L11" s="14">
        <v>-18491030.77</v>
      </c>
      <c r="M11" s="14">
        <v>3895246.3</v>
      </c>
      <c r="N11" s="14">
        <v>2653233.13</v>
      </c>
      <c r="S11" s="21">
        <v>7</v>
      </c>
      <c r="T11" s="30" t="s">
        <v>18</v>
      </c>
      <c r="U11" s="30" t="s">
        <v>33</v>
      </c>
      <c r="V11" s="21" t="s">
        <v>14</v>
      </c>
      <c r="W11" s="22" t="s">
        <v>38</v>
      </c>
    </row>
    <row r="12" spans="1:23" x14ac:dyDescent="0.2">
      <c r="A12" s="6" t="s">
        <v>39</v>
      </c>
      <c r="B12" s="7" t="s">
        <v>40</v>
      </c>
      <c r="C12" s="14">
        <f>176809074.46-468541906.71</f>
        <v>-291732832.25</v>
      </c>
      <c r="D12" s="14">
        <f>119770007.49-316104963.8</f>
        <v>-196334956.31</v>
      </c>
      <c r="E12" s="14">
        <f>13964695.66-16923386.52</f>
        <v>-2958690.8599999994</v>
      </c>
      <c r="F12" s="14">
        <f>15096061.05-27969894.67</f>
        <v>-12873833.620000001</v>
      </c>
      <c r="G12" s="14">
        <f>57247419.26-28617789.85</f>
        <v>28629629.409999996</v>
      </c>
      <c r="H12" s="14">
        <f>11748600.93-7153955.59</f>
        <v>4594645.34</v>
      </c>
      <c r="I12" s="14">
        <f>18766518.92-24080048.07</f>
        <v>-5313529.1499999985</v>
      </c>
      <c r="J12" s="14">
        <f>13217275.11-7718995.5</f>
        <v>5498279.6099999994</v>
      </c>
      <c r="K12" s="14">
        <f>7843286.7-10841528.76</f>
        <v>-2998242.0599999996</v>
      </c>
      <c r="L12" s="14">
        <f>8789440.47-35741039.86</f>
        <v>-26951599.390000001</v>
      </c>
      <c r="M12" s="14">
        <f>24452009.3-46479765.93</f>
        <v>-22027756.629999999</v>
      </c>
      <c r="N12" s="14">
        <f>10678630.01-18119068.89</f>
        <v>-7440438.8800000008</v>
      </c>
      <c r="S12" s="23">
        <v>8</v>
      </c>
      <c r="T12" s="24" t="s">
        <v>18</v>
      </c>
      <c r="U12" s="24" t="s">
        <v>33</v>
      </c>
      <c r="V12" s="24" t="s">
        <v>18</v>
      </c>
      <c r="W12" s="25" t="s">
        <v>41</v>
      </c>
    </row>
    <row r="13" spans="1:23" x14ac:dyDescent="0.2">
      <c r="A13" s="6" t="s">
        <v>42</v>
      </c>
      <c r="B13" s="7" t="s">
        <v>43</v>
      </c>
      <c r="C13" s="14">
        <f>SUM(C3/12)</f>
        <v>156633866.66666666</v>
      </c>
      <c r="D13" s="14">
        <f>SUM(D3/12)</f>
        <v>52540708.333333336</v>
      </c>
      <c r="E13" s="14">
        <f>SUM(E3/12)</f>
        <v>21391546.254999999</v>
      </c>
      <c r="F13" s="14">
        <f>SUM(F3/12)</f>
        <v>9568608.333333334</v>
      </c>
      <c r="G13" s="14">
        <f t="shared" ref="G13:J13" si="6">SUM(G3/12)</f>
        <v>8595204.5708333328</v>
      </c>
      <c r="H13" s="14">
        <f t="shared" si="6"/>
        <v>4192600</v>
      </c>
      <c r="I13" s="14">
        <f t="shared" si="6"/>
        <v>8377687.5333333323</v>
      </c>
      <c r="J13" s="14">
        <f t="shared" si="6"/>
        <v>4264454.1291666664</v>
      </c>
      <c r="K13" s="14">
        <f>SUM(K3/12)</f>
        <v>5272850</v>
      </c>
      <c r="L13" s="14">
        <f>SUM(L3/12)</f>
        <v>8934166.666666666</v>
      </c>
      <c r="M13" s="14">
        <f>SUM(M3/12)</f>
        <v>9156130.833333334</v>
      </c>
      <c r="N13" s="14">
        <f>SUM(N3/12)</f>
        <v>6289250</v>
      </c>
    </row>
    <row r="14" spans="1:23" x14ac:dyDescent="0.2">
      <c r="A14" s="6" t="s">
        <v>44</v>
      </c>
      <c r="B14" s="7" t="s">
        <v>45</v>
      </c>
      <c r="C14" s="14">
        <f>IFERROR(SUM(C11/C13),0)</f>
        <v>1.088783072136805</v>
      </c>
      <c r="D14" s="14">
        <f>IFERROR(SUM(D11/D13),0)</f>
        <v>-0.40053340424131445</v>
      </c>
      <c r="E14" s="14">
        <f>IFERROR(SUM(E11/E13),0)</f>
        <v>1.5527810464956966</v>
      </c>
      <c r="F14" s="14">
        <f>IFERROR(SUM(F11/F13),0)</f>
        <v>0.34379355235392117</v>
      </c>
      <c r="G14" s="14">
        <f t="shared" ref="G14:J14" si="7">IFERROR(SUM(G11/G13),0)</f>
        <v>5.6745600500897906</v>
      </c>
      <c r="H14" s="14">
        <f t="shared" si="7"/>
        <v>2.3619439727138292</v>
      </c>
      <c r="I14" s="14">
        <f t="shared" si="7"/>
        <v>0.74565570811095672</v>
      </c>
      <c r="J14" s="14">
        <f t="shared" si="7"/>
        <v>1.952970705685015</v>
      </c>
      <c r="K14" s="14">
        <f>IFERROR(SUM(K11/K13),0)</f>
        <v>0.57350027214883792</v>
      </c>
      <c r="L14" s="14">
        <f>IFERROR(SUM(L11/L13),0)</f>
        <v>-2.0696984352205954</v>
      </c>
      <c r="M14" s="14">
        <f>IFERROR(SUM(M11/M13),0)</f>
        <v>0.42542492794217929</v>
      </c>
      <c r="N14" s="14">
        <f>IFERROR(SUM(N11/N13),0)</f>
        <v>0.421867969948722</v>
      </c>
    </row>
    <row r="15" spans="1:23" x14ac:dyDescent="0.2">
      <c r="A15" s="31" t="s">
        <v>46</v>
      </c>
      <c r="B15" s="7" t="s">
        <v>47</v>
      </c>
      <c r="C15" s="32">
        <f>IF(AND(C11&lt;0,C9&lt;0),(C9+C11),(C11-C9))</f>
        <v>145567982.55000001</v>
      </c>
      <c r="D15" s="32">
        <f>IF(AND(D11&lt;0,D9&lt;0),(D9+D11),(D11-D9))</f>
        <v>-22776608.77</v>
      </c>
      <c r="E15" s="32">
        <f>IF(AND(E11&lt;0,E9&lt;0),(E9+E11),(E11-E9))</f>
        <v>14673477.569999997</v>
      </c>
      <c r="F15" s="32">
        <f>IF(AND(F11&lt;0,F9&lt;0),(F9+F11),(F11-F9))</f>
        <v>3279625.85</v>
      </c>
      <c r="G15" s="32">
        <f t="shared" ref="G15:J15" si="8">IF(AND(G11&lt;0,G9&lt;0),(G9+G11),(G11-G9))</f>
        <v>60380095.449999996</v>
      </c>
      <c r="H15" s="32">
        <f t="shared" si="8"/>
        <v>9894726.3000000007</v>
      </c>
      <c r="I15" s="32">
        <f t="shared" si="8"/>
        <v>6246870.5300000003</v>
      </c>
      <c r="J15" s="32">
        <f t="shared" si="8"/>
        <v>7701298</v>
      </c>
      <c r="K15" s="32">
        <f>IF(AND(K11&lt;0,K9&lt;0),(K9+K11),(K11-K9))</f>
        <v>2622479.0700000003</v>
      </c>
      <c r="L15" s="32">
        <f>IF(AND(L11&lt;0,L9&lt;0),(L9+L11),(L11-L9))</f>
        <v>-18731730.77</v>
      </c>
      <c r="M15" s="32">
        <f>IF(AND(M11&lt;0,M9&lt;0),(M9+M11),(M11-M9))</f>
        <v>3844255.3</v>
      </c>
      <c r="N15" s="32">
        <f>IF(AND(N11&lt;0,N9&lt;0),(N9+N11),(N11-N9))</f>
        <v>1459433.13</v>
      </c>
    </row>
    <row r="16" spans="1:23" ht="48" x14ac:dyDescent="0.2">
      <c r="A16" s="6" t="s">
        <v>48</v>
      </c>
      <c r="B16" s="7" t="s">
        <v>49</v>
      </c>
      <c r="C16" s="14">
        <f>IFERROR(SUM(C15/C13),0)</f>
        <v>0.92935190612247343</v>
      </c>
      <c r="D16" s="14">
        <f>IFERROR(SUM(D15/D13),0)</f>
        <v>-0.43350402939942595</v>
      </c>
      <c r="E16" s="14">
        <f>IFERROR(SUM(E15/E13),0)</f>
        <v>0.68594749510313024</v>
      </c>
      <c r="F16" s="14">
        <f>IFERROR(SUM(F15/F13),0)</f>
        <v>0.34274846829868155</v>
      </c>
      <c r="G16" s="14">
        <f t="shared" ref="G16:J16" si="9">IFERROR(SUM(G15/G13),0)</f>
        <v>7.0248584489648689</v>
      </c>
      <c r="H16" s="14">
        <f t="shared" si="9"/>
        <v>2.3600453894957782</v>
      </c>
      <c r="I16" s="14">
        <f t="shared" si="9"/>
        <v>0.74565570811095672</v>
      </c>
      <c r="J16" s="14">
        <f t="shared" si="9"/>
        <v>1.8059282071595271</v>
      </c>
      <c r="K16" s="14">
        <f>IFERROR(SUM(K15/K13),0)</f>
        <v>0.49735514380268742</v>
      </c>
      <c r="L16" s="14">
        <f>IFERROR(SUM(L15/L13),0)</f>
        <v>-2.0966399518701615</v>
      </c>
      <c r="M16" s="14">
        <f>IFERROR(SUM(M15/M13),0)</f>
        <v>0.41985587252694162</v>
      </c>
      <c r="N16" s="14">
        <f>IFERROR(SUM(N15/N13),0)</f>
        <v>0.23205201415113089</v>
      </c>
    </row>
    <row r="17" spans="1:23" ht="48" x14ac:dyDescent="0.2">
      <c r="A17" s="6" t="s">
        <v>50</v>
      </c>
      <c r="B17" s="7" t="s">
        <v>51</v>
      </c>
      <c r="C17" s="33" t="str">
        <f>IF(C4&gt;=0, "Normal", "Risk")</f>
        <v>Normal</v>
      </c>
      <c r="D17" s="33" t="str">
        <f>IF(D4&gt;=0, "Normal", "Risk")</f>
        <v>Normal</v>
      </c>
      <c r="E17" s="33" t="str">
        <f>IF(E4&gt;=0, "Normal", "Risk")</f>
        <v>Normal</v>
      </c>
      <c r="F17" s="33" t="str">
        <f>IF(F4&gt;=0, "Normal", "Risk")</f>
        <v>Normal</v>
      </c>
      <c r="G17" s="33" t="str">
        <f t="shared" ref="G17:J17" si="10">IF(G4&gt;=0, "Normal", "Risk")</f>
        <v>Normal</v>
      </c>
      <c r="H17" s="33" t="str">
        <f t="shared" si="10"/>
        <v>Normal</v>
      </c>
      <c r="I17" s="33" t="str">
        <f t="shared" si="10"/>
        <v>Risk</v>
      </c>
      <c r="J17" s="33" t="str">
        <f t="shared" si="10"/>
        <v>Normal</v>
      </c>
      <c r="K17" s="33" t="str">
        <f>IF(K4&gt;=0, "Normal", "Risk")</f>
        <v>Normal</v>
      </c>
      <c r="L17" s="33" t="str">
        <f>IF(L4&gt;=0, "Normal", "Risk")</f>
        <v>Normal</v>
      </c>
      <c r="M17" s="33" t="str">
        <f>IF(M4&gt;=0, "Normal", "Risk")</f>
        <v>Normal</v>
      </c>
      <c r="N17" s="33" t="str">
        <f>IF(N4&gt;=0, "Normal", "Risk")</f>
        <v>Normal</v>
      </c>
      <c r="S17" s="4"/>
      <c r="T17" s="4"/>
      <c r="U17" s="4"/>
      <c r="V17" s="4"/>
      <c r="W17" s="4"/>
    </row>
    <row r="18" spans="1:23" ht="48" x14ac:dyDescent="0.2">
      <c r="A18" s="6" t="s">
        <v>52</v>
      </c>
      <c r="B18" s="7" t="s">
        <v>53</v>
      </c>
      <c r="C18" s="33" t="str">
        <f>IF(C9&gt;=0, "Normal", "Risk")</f>
        <v>Normal</v>
      </c>
      <c r="D18" s="33" t="str">
        <f>IF(D9&gt;=0, "Normal", "Risk")</f>
        <v>Normal</v>
      </c>
      <c r="E18" s="33" t="str">
        <f>IF(E9&gt;=0, "Normal", "Risk")</f>
        <v>Normal</v>
      </c>
      <c r="F18" s="33" t="str">
        <f>IF(F9&gt;=0, "Normal", "Risk")</f>
        <v>Normal</v>
      </c>
      <c r="G18" s="33" t="str">
        <f t="shared" ref="G18:J18" si="11">IF(G9&gt;=0, "Normal", "Risk")</f>
        <v>Risk</v>
      </c>
      <c r="H18" s="33" t="str">
        <f t="shared" si="11"/>
        <v>Normal</v>
      </c>
      <c r="I18" s="33" t="str">
        <f t="shared" si="11"/>
        <v>Normal</v>
      </c>
      <c r="J18" s="33" t="str">
        <f t="shared" si="11"/>
        <v>Normal</v>
      </c>
      <c r="K18" s="33" t="str">
        <f>IF(K9&gt;=0, "Normal", "Risk")</f>
        <v>Normal</v>
      </c>
      <c r="L18" s="33" t="str">
        <f>IF(L9&gt;=0, "Normal", "Risk")</f>
        <v>Normal</v>
      </c>
      <c r="M18" s="33" t="str">
        <f>IF(M9&gt;=0, "Normal", "Risk")</f>
        <v>Normal</v>
      </c>
      <c r="N18" s="33" t="str">
        <f>IF(N9&gt;=0, "Normal", "Risk")</f>
        <v>Normal</v>
      </c>
      <c r="S18" s="4"/>
      <c r="T18" s="4"/>
      <c r="U18" s="4"/>
      <c r="V18" s="4"/>
      <c r="W18" s="4"/>
    </row>
    <row r="19" spans="1:23" ht="48" x14ac:dyDescent="0.2">
      <c r="A19" s="6" t="s">
        <v>54</v>
      </c>
      <c r="B19" s="7" t="s">
        <v>55</v>
      </c>
      <c r="C19" s="33" t="str">
        <f>IF(C16&gt;1, "Normal", "Risk")</f>
        <v>Risk</v>
      </c>
      <c r="D19" s="33" t="str">
        <f>IF(D16&gt;1, "Normal", "Risk")</f>
        <v>Risk</v>
      </c>
      <c r="E19" s="33" t="str">
        <f>IF(E16&gt;1, "Normal", "Risk")</f>
        <v>Risk</v>
      </c>
      <c r="F19" s="33" t="str">
        <f>IF(F16&gt;1, "Normal", "Risk")</f>
        <v>Risk</v>
      </c>
      <c r="G19" s="33" t="str">
        <f t="shared" ref="G19:J19" si="12">IF(G16&gt;1, "Normal", "Risk")</f>
        <v>Normal</v>
      </c>
      <c r="H19" s="33" t="str">
        <f t="shared" si="12"/>
        <v>Normal</v>
      </c>
      <c r="I19" s="33" t="str">
        <f t="shared" si="12"/>
        <v>Risk</v>
      </c>
      <c r="J19" s="33" t="str">
        <f t="shared" si="12"/>
        <v>Normal</v>
      </c>
      <c r="K19" s="33" t="str">
        <f>IF(K16&gt;1, "Normal", "Risk")</f>
        <v>Risk</v>
      </c>
      <c r="L19" s="33" t="str">
        <f>IF(L16&gt;1, "Normal", "Risk")</f>
        <v>Risk</v>
      </c>
      <c r="M19" s="33" t="str">
        <f>IF(M16&gt;1, "Normal", "Risk")</f>
        <v>Risk</v>
      </c>
      <c r="N19" s="33" t="str">
        <f>IF(N16&gt;1, "Normal", "Risk")</f>
        <v>Risk</v>
      </c>
      <c r="S19" s="4"/>
      <c r="T19" s="4"/>
      <c r="U19" s="4"/>
      <c r="V19" s="4"/>
      <c r="W19" s="4"/>
    </row>
    <row r="20" spans="1:23" x14ac:dyDescent="0.2">
      <c r="A20" s="34"/>
      <c r="B20" s="6" t="s">
        <v>56</v>
      </c>
      <c r="C20" s="35">
        <f>IF(AND(C17="Normal",C18="Normal",C19="Normal"),1,IF(AND(C17="Normal",C18="Normal",C19="Risk"),2,IF(AND(C17="Normal",C18="Risk",C19="Normal"),3,IF(AND(C17="Normal",C18="Risk",C19="Risk"),4,IF(AND(C17="Risk",C18="Normal",C19="Normal"),5,IF(AND(C17="Risk",C18="Normal",C19="Risk"),6,IF(AND(C17="Risk",C18="Risk",C19="Normal"),7,IF(AND(C17="Risk",C18="Risk",C19="Risk"),8,"Unknows"))))))))</f>
        <v>2</v>
      </c>
      <c r="D20" s="35">
        <f>IF(AND(D17="Normal",D18="Normal",D19="Normal"),1,IF(AND(D17="Normal",D18="Normal",D19="Risk"),2,IF(AND(D17="Normal",D18="Risk",D19="Normal"),3,IF(AND(D17="Normal",D18="Risk",D19="Risk"),4,IF(AND(D17="Risk",D18="Normal",D19="Normal"),5,IF(AND(D17="Risk",D18="Normal",D19="Risk"),6,IF(AND(D17="Risk",D18="Risk",D19="Normal"),7,IF(AND(D17="Risk",D18="Risk",D19="Risk"),8,"Unknows"))))))))</f>
        <v>2</v>
      </c>
      <c r="E20" s="35">
        <f>IF(AND(E17="Normal",E18="Normal",E19="Normal"),1,IF(AND(E17="Normal",E18="Normal",E19="Risk"),2,IF(AND(E17="Normal",E18="Risk",E19="Normal"),3,IF(AND(E17="Normal",E18="Risk",E19="Risk"),4,IF(AND(E17="Risk",E18="Normal",E19="Normal"),5,IF(AND(E17="Risk",E18="Normal",E19="Risk"),6,IF(AND(E17="Risk",E18="Risk",E19="Normal"),7,IF(AND(E17="Risk",E18="Risk",E19="Risk"),8,"Unknows"))))))))</f>
        <v>2</v>
      </c>
      <c r="F20" s="35">
        <f>IF(AND(F17="Normal",F18="Normal",F19="Normal"),1,IF(AND(F17="Normal",F18="Normal",F19="Risk"),2,IF(AND(F17="Normal",F18="Risk",F19="Normal"),3,IF(AND(F17="Normal",F18="Risk",F19="Risk"),4,IF(AND(F17="Risk",F18="Normal",F19="Normal"),5,IF(AND(F17="Risk",F18="Normal",F19="Risk"),6,IF(AND(F17="Risk",F18="Risk",F19="Normal"),7,IF(AND(F17="Risk",F18="Risk",F19="Risk"),8,"Unknows"))))))))</f>
        <v>2</v>
      </c>
      <c r="G20" s="35">
        <f t="shared" ref="G20:J20" si="13">IF(AND(G17="Normal",G18="Normal",G19="Normal"),1,IF(AND(G17="Normal",G18="Normal",G19="Risk"),2,IF(AND(G17="Normal",G18="Risk",G19="Normal"),3,IF(AND(G17="Normal",G18="Risk",G19="Risk"),4,IF(AND(G17="Risk",G18="Normal",G19="Normal"),5,IF(AND(G17="Risk",G18="Normal",G19="Risk"),6,IF(AND(G17="Risk",G18="Risk",G19="Normal"),7,IF(AND(G17="Risk",G18="Risk",G19="Risk"),8,"Unknows"))))))))</f>
        <v>3</v>
      </c>
      <c r="H20" s="35">
        <f t="shared" si="13"/>
        <v>1</v>
      </c>
      <c r="I20" s="35">
        <f t="shared" si="13"/>
        <v>6</v>
      </c>
      <c r="J20" s="35">
        <f t="shared" si="13"/>
        <v>1</v>
      </c>
      <c r="K20" s="35">
        <f>IF(AND(K17="Normal",K18="Normal",K19="Normal"),1,IF(AND(K17="Normal",K18="Normal",K19="Risk"),2,IF(AND(K17="Normal",K18="Risk",K19="Normal"),3,IF(AND(K17="Normal",K18="Risk",K19="Risk"),4,IF(AND(K17="Risk",K18="Normal",K19="Normal"),5,IF(AND(K17="Risk",K18="Normal",K19="Risk"),6,IF(AND(K17="Risk",K18="Risk",K19="Normal"),7,IF(AND(K17="Risk",K18="Risk",K19="Risk"),8,"Unknows"))))))))</f>
        <v>2</v>
      </c>
      <c r="L20" s="35">
        <f>IF(AND(L17="Normal",L18="Normal",L19="Normal"),1,IF(AND(L17="Normal",L18="Normal",L19="Risk"),2,IF(AND(L17="Normal",L18="Risk",L19="Normal"),3,IF(AND(L17="Normal",L18="Risk",L19="Risk"),4,IF(AND(L17="Risk",L18="Normal",L19="Normal"),5,IF(AND(L17="Risk",L18="Normal",L19="Risk"),6,IF(AND(L17="Risk",L18="Risk",L19="Normal"),7,IF(AND(L17="Risk",L18="Risk",L19="Risk"),8,"Unknows"))))))))</f>
        <v>2</v>
      </c>
      <c r="M20" s="35">
        <f>IF(AND(M17="Normal",M18="Normal",M19="Normal"),1,IF(AND(M17="Normal",M18="Normal",M19="Risk"),2,IF(AND(M17="Normal",M18="Risk",M19="Normal"),3,IF(AND(M17="Normal",M18="Risk",M19="Risk"),4,IF(AND(M17="Risk",M18="Normal",M19="Normal"),5,IF(AND(M17="Risk",M18="Normal",M19="Risk"),6,IF(AND(M17="Risk",M18="Risk",M19="Normal"),7,IF(AND(M17="Risk",M18="Risk",M19="Risk"),8,"Unknows"))))))))</f>
        <v>2</v>
      </c>
      <c r="N20" s="35">
        <f>IF(AND(N17="Normal",N18="Normal",N19="Normal"),1,IF(AND(N17="Normal",N18="Normal",N19="Risk"),2,IF(AND(N17="Normal",N18="Risk",N19="Normal"),3,IF(AND(N17="Normal",N18="Risk",N19="Risk"),4,IF(AND(N17="Risk",N18="Normal",N19="Normal"),5,IF(AND(N17="Risk",N18="Normal",N19="Risk"),6,IF(AND(N17="Risk",N18="Risk",N19="Normal"),7,IF(AND(N17="Risk",N18="Risk",N19="Risk"),8,"Unknows"))))))))</f>
        <v>2</v>
      </c>
      <c r="S20" s="4"/>
      <c r="T20" s="4"/>
      <c r="U20" s="4"/>
      <c r="V20" s="4"/>
      <c r="W20" s="4"/>
    </row>
    <row r="21" spans="1:23" ht="120" x14ac:dyDescent="0.2">
      <c r="A21" s="36"/>
      <c r="B21" s="37" t="s">
        <v>57</v>
      </c>
      <c r="C21" s="38" t="str">
        <f>VLOOKUP(C20,$S$4:$W$12,5,0)</f>
        <v xml:space="preserve">ทบทวนการลงทุนอีกครั้ง </v>
      </c>
      <c r="D21" s="38" t="str">
        <f>VLOOKUP(D20,$S$4:$W$12,5,0)</f>
        <v xml:space="preserve">ทบทวนการลงทุนอีกครั้ง </v>
      </c>
      <c r="E21" s="38" t="str">
        <f>VLOOKUP(E20,$S$4:$W$12,5,0)</f>
        <v xml:space="preserve">ทบทวนการลงทุนอีกครั้ง </v>
      </c>
      <c r="F21" s="38" t="str">
        <f>VLOOKUP(F20,$S$4:$W$12,5,0)</f>
        <v xml:space="preserve">ทบทวนการลงทุนอีกครั้ง </v>
      </c>
      <c r="G21" s="38" t="str">
        <f t="shared" ref="G21:J21" si="14">VLOOKUP(G20,$S$4:$W$12,5,0)</f>
        <v>ทบทวนการลงทุนอีกครั้ง ทำFeasibility study</v>
      </c>
      <c r="H21" s="38" t="str">
        <f t="shared" si="14"/>
        <v xml:space="preserve"> ไม่ต้องปรับ</v>
      </c>
      <c r="I21" s="38" t="str">
        <f t="shared" si="14"/>
        <v xml:space="preserve">ปรับ EBITDA ให้เป็น + และทบทวนการลงทุนอีกครั้งเพื่อเงินเหลือจาก EBITDA – ลงทุนจะไปเพิ่ม NWC </v>
      </c>
      <c r="J21" s="38" t="str">
        <f t="shared" si="14"/>
        <v xml:space="preserve"> ไม่ต้องปรับ</v>
      </c>
      <c r="K21" s="38" t="str">
        <f>VLOOKUP(K20,$S$4:$W$12,5,0)</f>
        <v xml:space="preserve">ทบทวนการลงทุนอีกครั้ง </v>
      </c>
      <c r="L21" s="38" t="str">
        <f>VLOOKUP(L20,$S$4:$W$12,5,0)</f>
        <v xml:space="preserve">ทบทวนการลงทุนอีกครั้ง </v>
      </c>
      <c r="M21" s="38" t="str">
        <f>VLOOKUP(M20,$S$4:$W$12,5,0)</f>
        <v xml:space="preserve">ทบทวนการลงทุนอีกครั้ง </v>
      </c>
      <c r="N21" s="38" t="str">
        <f>VLOOKUP(N20,$S$4:$W$12,5,0)</f>
        <v xml:space="preserve">ทบทวนการลงทุนอีกครั้ง </v>
      </c>
      <c r="S21" s="4"/>
      <c r="T21" s="4"/>
      <c r="U21" s="4"/>
      <c r="V21" s="4"/>
      <c r="W21" s="4"/>
    </row>
  </sheetData>
  <autoFilter ref="C1:C21"/>
  <mergeCells count="2">
    <mergeCell ref="W2:W3"/>
    <mergeCell ref="A9:A10"/>
  </mergeCells>
  <conditionalFormatting sqref="D22:D1048576">
    <cfRule type="containsText" dxfId="106" priority="52" operator="containsText" text="เกินดุล">
      <formula>NOT(ISERROR(SEARCH("เกินดุล",D22)))</formula>
    </cfRule>
    <cfRule type="containsText" dxfId="105" priority="53" operator="containsText" text="สมดุล">
      <formula>NOT(ISERROR(SEARCH("สมดุล",D22)))</formula>
    </cfRule>
    <cfRule type="containsText" dxfId="104" priority="54" operator="containsText" text="ขาดดุล">
      <formula>NOT(ISERROR(SEARCH("ขาดดุล",D22)))</formula>
    </cfRule>
    <cfRule type="containsText" dxfId="103" priority="55" operator="containsText" text="สมดุล">
      <formula>NOT(ISERROR(SEARCH("สมดุล",D22)))</formula>
    </cfRule>
  </conditionalFormatting>
  <conditionalFormatting sqref="A5:I5">
    <cfRule type="containsText" dxfId="102" priority="48" operator="containsText" text="เกินดุล">
      <formula>NOT(ISERROR(SEARCH("เกินดุล",A5)))</formula>
    </cfRule>
    <cfRule type="containsText" dxfId="101" priority="49" operator="containsText" text="สมดุล">
      <formula>NOT(ISERROR(SEARCH("สมดุล",A5)))</formula>
    </cfRule>
    <cfRule type="containsText" dxfId="100" priority="50" operator="containsText" text="ขาดดุล">
      <formula>NOT(ISERROR(SEARCH("ขาดดุล",A5)))</formula>
    </cfRule>
    <cfRule type="containsText" dxfId="99" priority="51" operator="containsText" text="สมดุล">
      <formula>NOT(ISERROR(SEARCH("สมดุล",A5)))</formula>
    </cfRule>
  </conditionalFormatting>
  <conditionalFormatting sqref="C9:I9">
    <cfRule type="cellIs" dxfId="98" priority="47" operator="lessThan">
      <formula>0</formula>
    </cfRule>
  </conditionalFormatting>
  <conditionalFormatting sqref="C20:I20">
    <cfRule type="cellIs" dxfId="97" priority="38" operator="equal">
      <formula>8</formula>
    </cfRule>
    <cfRule type="cellIs" dxfId="96" priority="39" operator="equal">
      <formula>7</formula>
    </cfRule>
    <cfRule type="cellIs" dxfId="95" priority="40" operator="equal">
      <formula>6</formula>
    </cfRule>
    <cfRule type="cellIs" dxfId="94" priority="41" operator="equal">
      <formula>5</formula>
    </cfRule>
    <cfRule type="cellIs" dxfId="93" priority="42" operator="equal">
      <formula>4</formula>
    </cfRule>
    <cfRule type="cellIs" dxfId="92" priority="43" operator="equal">
      <formula>3</formula>
    </cfRule>
    <cfRule type="cellIs" dxfId="91" priority="44" operator="equal">
      <formula>2</formula>
    </cfRule>
    <cfRule type="cellIs" dxfId="90" priority="45" operator="equal">
      <formula>1</formula>
    </cfRule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ntainsText" dxfId="89" priority="34" operator="containsText" text="เกินดุล">
      <formula>NOT(ISERROR(SEARCH("เกินดุล",J5)))</formula>
    </cfRule>
    <cfRule type="containsText" dxfId="88" priority="35" operator="containsText" text="สมดุล">
      <formula>NOT(ISERROR(SEARCH("สมดุล",J5)))</formula>
    </cfRule>
    <cfRule type="containsText" dxfId="87" priority="36" operator="containsText" text="ขาดดุล">
      <formula>NOT(ISERROR(SEARCH("ขาดดุล",J5)))</formula>
    </cfRule>
    <cfRule type="containsText" dxfId="86" priority="37" operator="containsText" text="สมดุล">
      <formula>NOT(ISERROR(SEARCH("สมดุล",J5)))</formula>
    </cfRule>
  </conditionalFormatting>
  <conditionalFormatting sqref="J9">
    <cfRule type="cellIs" dxfId="85" priority="33" operator="lessThan">
      <formula>0</formula>
    </cfRule>
  </conditionalFormatting>
  <conditionalFormatting sqref="J20">
    <cfRule type="cellIs" dxfId="84" priority="24" operator="equal">
      <formula>8</formula>
    </cfRule>
    <cfRule type="cellIs" dxfId="83" priority="25" operator="equal">
      <formula>7</formula>
    </cfRule>
    <cfRule type="cellIs" dxfId="82" priority="26" operator="equal">
      <formula>6</formula>
    </cfRule>
    <cfRule type="cellIs" dxfId="81" priority="27" operator="equal">
      <formula>5</formula>
    </cfRule>
    <cfRule type="cellIs" dxfId="80" priority="28" operator="equal">
      <formula>4</formula>
    </cfRule>
    <cfRule type="cellIs" dxfId="79" priority="29" operator="equal">
      <formula>3</formula>
    </cfRule>
    <cfRule type="cellIs" dxfId="78" priority="30" operator="equal">
      <formula>2</formula>
    </cfRule>
    <cfRule type="cellIs" dxfId="77" priority="31" operator="equal">
      <formula>1</formula>
    </cfRule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L1048576">
    <cfRule type="containsText" dxfId="76" priority="20" operator="containsText" text="เกินดุล">
      <formula>NOT(ISERROR(SEARCH("เกินดุล",L22)))</formula>
    </cfRule>
    <cfRule type="containsText" dxfId="75" priority="21" operator="containsText" text="สมดุล">
      <formula>NOT(ISERROR(SEARCH("สมดุล",L22)))</formula>
    </cfRule>
    <cfRule type="containsText" dxfId="74" priority="22" operator="containsText" text="ขาดดุล">
      <formula>NOT(ISERROR(SEARCH("ขาดดุล",L22)))</formula>
    </cfRule>
    <cfRule type="containsText" dxfId="73" priority="23" operator="containsText" text="สมดุล">
      <formula>NOT(ISERROR(SEARCH("สมดุล",L22)))</formula>
    </cfRule>
  </conditionalFormatting>
  <conditionalFormatting sqref="K5:M5">
    <cfRule type="containsText" dxfId="72" priority="16" operator="containsText" text="เกินดุล">
      <formula>NOT(ISERROR(SEARCH("เกินดุล",K5)))</formula>
    </cfRule>
    <cfRule type="containsText" dxfId="71" priority="17" operator="containsText" text="สมดุล">
      <formula>NOT(ISERROR(SEARCH("สมดุล",K5)))</formula>
    </cfRule>
    <cfRule type="containsText" dxfId="70" priority="18" operator="containsText" text="ขาดดุล">
      <formula>NOT(ISERROR(SEARCH("ขาดดุล",K5)))</formula>
    </cfRule>
    <cfRule type="containsText" dxfId="69" priority="19" operator="containsText" text="สมดุล">
      <formula>NOT(ISERROR(SEARCH("สมดุล",K5)))</formula>
    </cfRule>
  </conditionalFormatting>
  <conditionalFormatting sqref="K9:M9">
    <cfRule type="cellIs" dxfId="68" priority="15" operator="lessThan">
      <formula>0</formula>
    </cfRule>
  </conditionalFormatting>
  <conditionalFormatting sqref="K20:M20">
    <cfRule type="cellIs" dxfId="67" priority="56" operator="equal">
      <formula>8</formula>
    </cfRule>
    <cfRule type="cellIs" dxfId="66" priority="57" operator="equal">
      <formula>7</formula>
    </cfRule>
    <cfRule type="cellIs" dxfId="65" priority="58" operator="equal">
      <formula>6</formula>
    </cfRule>
    <cfRule type="cellIs" dxfId="64" priority="59" operator="equal">
      <formula>5</formula>
    </cfRule>
    <cfRule type="cellIs" dxfId="63" priority="60" operator="equal">
      <formula>4</formula>
    </cfRule>
    <cfRule type="cellIs" dxfId="62" priority="61" operator="equal">
      <formula>3</formula>
    </cfRule>
    <cfRule type="cellIs" dxfId="61" priority="62" operator="equal">
      <formula>2</formula>
    </cfRule>
    <cfRule type="cellIs" dxfId="60" priority="63" operator="equal">
      <formula>1</formula>
    </cfRule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">
    <cfRule type="containsText" dxfId="59" priority="2" operator="containsText" text="เกินดุล">
      <formula>NOT(ISERROR(SEARCH("เกินดุล",N5)))</formula>
    </cfRule>
    <cfRule type="containsText" dxfId="58" priority="3" operator="containsText" text="สมดุล">
      <formula>NOT(ISERROR(SEARCH("สมดุล",N5)))</formula>
    </cfRule>
    <cfRule type="containsText" dxfId="57" priority="4" operator="containsText" text="ขาดดุล">
      <formula>NOT(ISERROR(SEARCH("ขาดดุล",N5)))</formula>
    </cfRule>
    <cfRule type="containsText" dxfId="56" priority="5" operator="containsText" text="สมดุล">
      <formula>NOT(ISERROR(SEARCH("สมดุล",N5)))</formula>
    </cfRule>
  </conditionalFormatting>
  <conditionalFormatting sqref="N9">
    <cfRule type="cellIs" dxfId="55" priority="1" operator="lessThan">
      <formula>0</formula>
    </cfRule>
  </conditionalFormatting>
  <conditionalFormatting sqref="N20">
    <cfRule type="cellIs" dxfId="54" priority="6" operator="equal">
      <formula>8</formula>
    </cfRule>
    <cfRule type="cellIs" dxfId="53" priority="7" operator="equal">
      <formula>7</formula>
    </cfRule>
    <cfRule type="cellIs" dxfId="52" priority="8" operator="equal">
      <formula>6</formula>
    </cfRule>
    <cfRule type="cellIs" dxfId="51" priority="9" operator="equal">
      <formula>5</formula>
    </cfRule>
    <cfRule type="cellIs" dxfId="50" priority="10" operator="equal">
      <formula>4</formula>
    </cfRule>
    <cfRule type="cellIs" dxfId="49" priority="11" operator="equal">
      <formula>3</formula>
    </cfRule>
    <cfRule type="cellIs" dxfId="48" priority="12" operator="equal">
      <formula>2</formula>
    </cfRule>
    <cfRule type="cellIs" dxfId="47" priority="13" operator="equal">
      <formula>1</formula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1"/>
  <sheetViews>
    <sheetView workbookViewId="0">
      <pane xSplit="2" topLeftCell="D1" activePane="topRight" state="frozen"/>
      <selection pane="topRight" activeCell="C7" sqref="C7"/>
    </sheetView>
  </sheetViews>
  <sheetFormatPr defaultColWidth="9.125" defaultRowHeight="24" x14ac:dyDescent="0.2"/>
  <cols>
    <col min="1" max="1" width="19.375" style="39" customWidth="1"/>
    <col min="2" max="2" width="65.75" style="40" customWidth="1"/>
    <col min="3" max="3" width="18.375" style="41" customWidth="1"/>
    <col min="4" max="6" width="18.375" style="3" customWidth="1"/>
    <col min="7" max="8" width="18.375" style="4" customWidth="1"/>
    <col min="9" max="12" width="9.125" style="4"/>
    <col min="13" max="13" width="6.375" style="5" hidden="1" customWidth="1"/>
    <col min="14" max="14" width="11.875" style="5" hidden="1" customWidth="1"/>
    <col min="15" max="15" width="12.375" style="5" hidden="1" customWidth="1"/>
    <col min="16" max="16" width="14" style="5" hidden="1" customWidth="1"/>
    <col min="17" max="17" width="72.375" style="5" hidden="1" customWidth="1"/>
    <col min="18" max="18" width="9.125" style="4" hidden="1" customWidth="1"/>
    <col min="19" max="16384" width="9.125" style="4"/>
  </cols>
  <sheetData>
    <row r="1" spans="1:17" x14ac:dyDescent="0.55000000000000004">
      <c r="A1" s="1" t="s">
        <v>0</v>
      </c>
      <c r="B1" s="2" t="s">
        <v>1</v>
      </c>
      <c r="C1" s="42" t="s">
        <v>116</v>
      </c>
      <c r="D1" s="42" t="s">
        <v>117</v>
      </c>
      <c r="E1" s="42" t="s">
        <v>118</v>
      </c>
      <c r="F1" s="43" t="s">
        <v>119</v>
      </c>
      <c r="G1" s="43" t="s">
        <v>120</v>
      </c>
      <c r="H1" s="43" t="s">
        <v>121</v>
      </c>
    </row>
    <row r="2" spans="1:17" x14ac:dyDescent="0.2">
      <c r="A2" s="6" t="s">
        <v>2</v>
      </c>
      <c r="B2" s="7" t="s">
        <v>3</v>
      </c>
      <c r="C2" s="8">
        <f>1099900010-14807210-450432400</f>
        <v>634660400</v>
      </c>
      <c r="D2" s="8">
        <f>339261706.56-7769800</f>
        <v>331491906.56</v>
      </c>
      <c r="E2" s="8">
        <f>101124940.2-2302884.29</f>
        <v>98822055.909999996</v>
      </c>
      <c r="F2" s="8">
        <f>82509188.09-2359188.09</f>
        <v>80150000</v>
      </c>
      <c r="G2" s="8">
        <f>58013035.12-1481803.31</f>
        <v>56531231.809999995</v>
      </c>
      <c r="H2" s="8">
        <f>75871419.82-1394468.37</f>
        <v>74476951.449999988</v>
      </c>
      <c r="M2" s="9"/>
      <c r="N2" s="10" t="s">
        <v>4</v>
      </c>
      <c r="O2" s="11" t="s">
        <v>5</v>
      </c>
      <c r="P2" s="11" t="s">
        <v>6</v>
      </c>
      <c r="Q2" s="47"/>
    </row>
    <row r="3" spans="1:17" ht="48.75" thickBot="1" x14ac:dyDescent="0.25">
      <c r="A3" s="6" t="s">
        <v>7</v>
      </c>
      <c r="B3" s="7" t="s">
        <v>8</v>
      </c>
      <c r="C3" s="8">
        <f>1097827300-451533400-41048800</f>
        <v>605245100</v>
      </c>
      <c r="D3" s="8">
        <f>384117698-28517900</f>
        <v>355599798</v>
      </c>
      <c r="E3" s="8">
        <f>101925122-3171300</f>
        <v>98753822</v>
      </c>
      <c r="F3" s="8">
        <f>81847489-2100000</f>
        <v>79747489</v>
      </c>
      <c r="G3" s="8">
        <f>60745797.77-2423932.84</f>
        <v>58321864.930000007</v>
      </c>
      <c r="H3" s="8">
        <f>74676149.92-3060084.11</f>
        <v>71616065.810000002</v>
      </c>
      <c r="M3" s="12"/>
      <c r="N3" s="12"/>
      <c r="O3" s="13" t="s">
        <v>9</v>
      </c>
      <c r="P3" s="12"/>
      <c r="Q3" s="48"/>
    </row>
    <row r="4" spans="1:17" ht="49.5" thickTop="1" thickBot="1" x14ac:dyDescent="0.25">
      <c r="A4" s="6" t="s">
        <v>10</v>
      </c>
      <c r="B4" s="7" t="s">
        <v>11</v>
      </c>
      <c r="C4" s="14">
        <f>SUM(C2-C3)</f>
        <v>29415300</v>
      </c>
      <c r="D4" s="14">
        <f>SUM(D2-D3)</f>
        <v>-24107891.439999998</v>
      </c>
      <c r="E4" s="14">
        <f>SUM(E2-E3)</f>
        <v>68233.909999996424</v>
      </c>
      <c r="F4" s="14">
        <f>SUM(F2-F3)</f>
        <v>402511</v>
      </c>
      <c r="G4" s="14">
        <f t="shared" ref="G4:H4" si="0">SUM(G2-G3)</f>
        <v>-1790633.1200000122</v>
      </c>
      <c r="H4" s="14">
        <f t="shared" si="0"/>
        <v>2860885.6399999857</v>
      </c>
      <c r="M4" s="15">
        <v>1</v>
      </c>
      <c r="N4" s="15" t="s">
        <v>12</v>
      </c>
      <c r="O4" s="15" t="s">
        <v>13</v>
      </c>
      <c r="P4" s="15" t="s">
        <v>14</v>
      </c>
      <c r="Q4" s="16" t="s">
        <v>15</v>
      </c>
    </row>
    <row r="5" spans="1:17" ht="24.75" thickBot="1" x14ac:dyDescent="0.25">
      <c r="A5" s="6" t="s">
        <v>16</v>
      </c>
      <c r="B5" s="7" t="s">
        <v>17</v>
      </c>
      <c r="C5" s="17" t="str">
        <f>IF(C4&gt;0,"เกินดุล",IF(C4=0,"สมดุล","ขาดดุล"))</f>
        <v>เกินดุล</v>
      </c>
      <c r="D5" s="17" t="str">
        <f>IF(D4&gt;0,"เกินดุล",IF(D4=0,"สมดุล","ขาดดุล"))</f>
        <v>ขาดดุล</v>
      </c>
      <c r="E5" s="17" t="str">
        <f>IF(E4&gt;0,"เกินดุล",IF(E4=0,"สมดุล","ขาดดุล"))</f>
        <v>เกินดุล</v>
      </c>
      <c r="F5" s="17" t="str">
        <f>IF(F4&gt;0,"เกินดุล",IF(F4=0,"สมดุล","ขาดดุล"))</f>
        <v>เกินดุล</v>
      </c>
      <c r="G5" s="17" t="str">
        <f t="shared" ref="G5:H5" si="1">IF(G4&gt;0,"เกินดุล",IF(G4=0,"สมดุล","ขาดดุล"))</f>
        <v>ขาดดุล</v>
      </c>
      <c r="H5" s="17" t="str">
        <f t="shared" si="1"/>
        <v>เกินดุล</v>
      </c>
      <c r="M5" s="18">
        <v>2</v>
      </c>
      <c r="N5" s="18" t="s">
        <v>12</v>
      </c>
      <c r="O5" s="18" t="s">
        <v>13</v>
      </c>
      <c r="P5" s="19" t="s">
        <v>18</v>
      </c>
      <c r="Q5" s="20" t="s">
        <v>19</v>
      </c>
    </row>
    <row r="6" spans="1:17" ht="24.75" thickBot="1" x14ac:dyDescent="0.25">
      <c r="A6" s="6" t="s">
        <v>20</v>
      </c>
      <c r="B6" s="7" t="s">
        <v>21</v>
      </c>
      <c r="C6" s="14">
        <f>IF(C4&lt;=0,0,ROUNDUP((C4*20%),2))</f>
        <v>5883060</v>
      </c>
      <c r="D6" s="14">
        <f>IF(D4&lt;=0,0,ROUNDUP((D4*20%),2))</f>
        <v>0</v>
      </c>
      <c r="E6" s="14">
        <f>IF(E4&lt;=0,0,ROUNDUP((E4*20%),2))</f>
        <v>13646.79</v>
      </c>
      <c r="F6" s="14">
        <f>IF(F4&lt;=0,0,ROUNDUP((F4*20%),2))</f>
        <v>80502.2</v>
      </c>
      <c r="G6" s="14">
        <f t="shared" ref="G6:H6" si="2">IF(G4&lt;=0,0,ROUNDUP((G4*20%),2))</f>
        <v>0</v>
      </c>
      <c r="H6" s="14">
        <f t="shared" si="2"/>
        <v>572177.13</v>
      </c>
      <c r="M6" s="21">
        <v>3</v>
      </c>
      <c r="N6" s="21" t="s">
        <v>12</v>
      </c>
      <c r="O6" s="21" t="s">
        <v>22</v>
      </c>
      <c r="P6" s="21" t="s">
        <v>14</v>
      </c>
      <c r="Q6" s="22" t="s">
        <v>23</v>
      </c>
    </row>
    <row r="7" spans="1:17" ht="24.75" thickBot="1" x14ac:dyDescent="0.25">
      <c r="A7" s="6" t="s">
        <v>24</v>
      </c>
      <c r="B7" s="7" t="s">
        <v>25</v>
      </c>
      <c r="C7" s="14">
        <v>3191786</v>
      </c>
      <c r="D7" s="14">
        <f>SUM([1]Planfin2563!D91)</f>
        <v>0</v>
      </c>
      <c r="E7" s="14">
        <v>633690</v>
      </c>
      <c r="F7" s="14">
        <v>500000</v>
      </c>
      <c r="G7" s="14">
        <f>SUM([1]Planfin2563!G91)</f>
        <v>0</v>
      </c>
      <c r="H7" s="14">
        <v>541231.63</v>
      </c>
      <c r="M7" s="23">
        <v>4</v>
      </c>
      <c r="N7" s="23" t="s">
        <v>12</v>
      </c>
      <c r="O7" s="23" t="s">
        <v>22</v>
      </c>
      <c r="P7" s="24" t="s">
        <v>18</v>
      </c>
      <c r="Q7" s="25" t="s">
        <v>26</v>
      </c>
    </row>
    <row r="8" spans="1:17" ht="24.75" thickBot="1" x14ac:dyDescent="0.25">
      <c r="A8" s="6" t="s">
        <v>27</v>
      </c>
      <c r="B8" s="7" t="s">
        <v>28</v>
      </c>
      <c r="C8" s="14">
        <f>IF(C4=0,0,(C7/C4)*100)</f>
        <v>10.850768137669851</v>
      </c>
      <c r="D8" s="14">
        <f>IF(D4=0,0,(D7/D4)*100)</f>
        <v>0</v>
      </c>
      <c r="E8" s="14">
        <f>IF(E4=0,0,(E7/E4)*100)</f>
        <v>928.70245893872016</v>
      </c>
      <c r="F8" s="14">
        <f>IF(F4=0,0,(F7/F4)*100)</f>
        <v>124.22020764649911</v>
      </c>
      <c r="G8" s="14">
        <f t="shared" ref="G8:H8" si="3">IF(G4=0,0,(G7/G4)*100)</f>
        <v>0</v>
      </c>
      <c r="H8" s="14">
        <f t="shared" si="3"/>
        <v>18.918324536733412</v>
      </c>
      <c r="M8" s="26">
        <v>5</v>
      </c>
      <c r="N8" s="27" t="s">
        <v>18</v>
      </c>
      <c r="O8" s="27" t="s">
        <v>29</v>
      </c>
      <c r="P8" s="26" t="s">
        <v>14</v>
      </c>
      <c r="Q8" s="28" t="s">
        <v>30</v>
      </c>
    </row>
    <row r="9" spans="1:17" ht="24.75" thickBot="1" x14ac:dyDescent="0.25">
      <c r="A9" s="49" t="s">
        <v>31</v>
      </c>
      <c r="B9" s="7" t="s">
        <v>32</v>
      </c>
      <c r="C9" s="44">
        <f>C6-C7</f>
        <v>2691274</v>
      </c>
      <c r="D9" s="14">
        <f>D6-D7</f>
        <v>0</v>
      </c>
      <c r="E9" s="14">
        <f>E6-E7</f>
        <v>-620043.21</v>
      </c>
      <c r="F9" s="14">
        <f>F6-F7</f>
        <v>-419497.8</v>
      </c>
      <c r="G9" s="14">
        <f t="shared" ref="G9:H9" si="4">G6-G7</f>
        <v>0</v>
      </c>
      <c r="H9" s="14">
        <f t="shared" si="4"/>
        <v>30945.5</v>
      </c>
      <c r="M9" s="23">
        <v>6</v>
      </c>
      <c r="N9" s="24" t="s">
        <v>18</v>
      </c>
      <c r="O9" s="24" t="s">
        <v>29</v>
      </c>
      <c r="P9" s="24" t="s">
        <v>33</v>
      </c>
      <c r="Q9" s="25" t="s">
        <v>34</v>
      </c>
    </row>
    <row r="10" spans="1:17" ht="24.75" thickBot="1" x14ac:dyDescent="0.25">
      <c r="A10" s="49"/>
      <c r="B10" s="7" t="s">
        <v>35</v>
      </c>
      <c r="C10" s="29" t="str">
        <f>IF(C9&gt;=0,"ไม่เกิน","เกิน")</f>
        <v>ไม่เกิน</v>
      </c>
      <c r="D10" s="29" t="str">
        <f>IF(D9&gt;=0,"ไม่เกิน","เกิน")</f>
        <v>ไม่เกิน</v>
      </c>
      <c r="E10" s="29" t="str">
        <f>IF(E9&gt;=0,"ไม่เกิน","เกิน")</f>
        <v>เกิน</v>
      </c>
      <c r="F10" s="29" t="str">
        <f>IF(F9&gt;=0,"ไม่เกิน","เกิน")</f>
        <v>เกิน</v>
      </c>
      <c r="G10" s="29" t="str">
        <f t="shared" ref="G10:H10" si="5">IF(G9&gt;=0,"ไม่เกิน","เกิน")</f>
        <v>ไม่เกิน</v>
      </c>
      <c r="H10" s="29" t="str">
        <f t="shared" si="5"/>
        <v>ไม่เกิน</v>
      </c>
      <c r="M10" s="23"/>
      <c r="N10" s="24"/>
      <c r="O10" s="24"/>
      <c r="P10" s="24"/>
      <c r="Q10" s="25"/>
    </row>
    <row r="11" spans="1:17" ht="24.75" thickBot="1" x14ac:dyDescent="0.25">
      <c r="A11" s="6" t="s">
        <v>36</v>
      </c>
      <c r="B11" s="7" t="s">
        <v>37</v>
      </c>
      <c r="C11" s="14">
        <v>216795908.69</v>
      </c>
      <c r="D11" s="14">
        <v>-27054917.93</v>
      </c>
      <c r="E11" s="14">
        <v>10551910.02</v>
      </c>
      <c r="F11" s="14">
        <v>-222602.79</v>
      </c>
      <c r="G11" s="14">
        <v>543005.30000000005</v>
      </c>
      <c r="H11" s="14">
        <v>-237558.83</v>
      </c>
      <c r="M11" s="21">
        <v>7</v>
      </c>
      <c r="N11" s="30" t="s">
        <v>18</v>
      </c>
      <c r="O11" s="30" t="s">
        <v>33</v>
      </c>
      <c r="P11" s="21" t="s">
        <v>14</v>
      </c>
      <c r="Q11" s="22" t="s">
        <v>38</v>
      </c>
    </row>
    <row r="12" spans="1:17" x14ac:dyDescent="0.2">
      <c r="A12" s="6" t="s">
        <v>39</v>
      </c>
      <c r="B12" s="7" t="s">
        <v>40</v>
      </c>
      <c r="C12" s="14">
        <f>125094007.8-59746184.91</f>
        <v>65347822.890000001</v>
      </c>
      <c r="D12" s="14">
        <f>38974981.84-93785995.24</f>
        <v>-54811013.399999991</v>
      </c>
      <c r="E12" s="14">
        <f>16041465.08-13746159.8</f>
        <v>2295305.2799999993</v>
      </c>
      <c r="F12" s="14">
        <f>16157132.02-22041906.7</f>
        <v>-5884774.6799999997</v>
      </c>
      <c r="G12" s="14">
        <f>5374291.51-14850299.06</f>
        <v>-9476007.5500000007</v>
      </c>
      <c r="H12" s="14">
        <f>7112111.66-11011000.69</f>
        <v>-3898889.0299999993</v>
      </c>
      <c r="M12" s="23">
        <v>8</v>
      </c>
      <c r="N12" s="24" t="s">
        <v>18</v>
      </c>
      <c r="O12" s="24" t="s">
        <v>33</v>
      </c>
      <c r="P12" s="24" t="s">
        <v>18</v>
      </c>
      <c r="Q12" s="25" t="s">
        <v>41</v>
      </c>
    </row>
    <row r="13" spans="1:17" x14ac:dyDescent="0.2">
      <c r="A13" s="6" t="s">
        <v>42</v>
      </c>
      <c r="B13" s="7" t="s">
        <v>43</v>
      </c>
      <c r="C13" s="14">
        <f>SUM(C3/12)</f>
        <v>50437091.666666664</v>
      </c>
      <c r="D13" s="14">
        <f>SUM(D3/12)</f>
        <v>29633316.5</v>
      </c>
      <c r="E13" s="14">
        <f>SUM(E3/12)</f>
        <v>8229485.166666667</v>
      </c>
      <c r="F13" s="14">
        <f>SUM(F3/12)</f>
        <v>6645624.083333333</v>
      </c>
      <c r="G13" s="14">
        <f t="shared" ref="G13:H13" si="6">SUM(G3/12)</f>
        <v>4860155.4108333336</v>
      </c>
      <c r="H13" s="14">
        <f t="shared" si="6"/>
        <v>5968005.4841666669</v>
      </c>
    </row>
    <row r="14" spans="1:17" x14ac:dyDescent="0.2">
      <c r="A14" s="6" t="s">
        <v>44</v>
      </c>
      <c r="B14" s="7" t="s">
        <v>45</v>
      </c>
      <c r="C14" s="14">
        <f>IFERROR(SUM(C11/C13),0)</f>
        <v>4.2983427776284353</v>
      </c>
      <c r="D14" s="14">
        <f>IFERROR(SUM(D11/D13),0)</f>
        <v>-0.91298987509548579</v>
      </c>
      <c r="E14" s="14">
        <f>IFERROR(SUM(E11/E13),0)</f>
        <v>1.2822077938411334</v>
      </c>
      <c r="F14" s="14">
        <f>IFERROR(SUM(F11/F13),0)</f>
        <v>-3.349614531436846E-2</v>
      </c>
      <c r="G14" s="14">
        <f t="shared" ref="G14:H14" si="7">IFERROR(SUM(G11/G13),0)</f>
        <v>0.11172591287711417</v>
      </c>
      <c r="H14" s="14">
        <f t="shared" si="7"/>
        <v>-3.980539740290992E-2</v>
      </c>
    </row>
    <row r="15" spans="1:17" x14ac:dyDescent="0.2">
      <c r="A15" s="31" t="s">
        <v>46</v>
      </c>
      <c r="B15" s="7" t="s">
        <v>47</v>
      </c>
      <c r="C15" s="32">
        <f>IF(AND(C11&lt;0,C9&lt;0),(C9+C11),(C11-C9))</f>
        <v>214104634.69</v>
      </c>
      <c r="D15" s="32">
        <f>IF(AND(D11&lt;0,D9&lt;0),(D9+D11),(D11-D9))</f>
        <v>-27054917.93</v>
      </c>
      <c r="E15" s="32">
        <f>IF(AND(E11&lt;0,E9&lt;0),(E9+E11),(E11-E9))</f>
        <v>11171953.23</v>
      </c>
      <c r="F15" s="32">
        <f>IF(AND(F11&lt;0,F9&lt;0),(F9+F11),(F11-F9))</f>
        <v>-642100.59</v>
      </c>
      <c r="G15" s="32">
        <f t="shared" ref="G15:H15" si="8">IF(AND(G11&lt;0,G9&lt;0),(G9+G11),(G11-G9))</f>
        <v>543005.30000000005</v>
      </c>
      <c r="H15" s="32">
        <f t="shared" si="8"/>
        <v>-268504.32999999996</v>
      </c>
    </row>
    <row r="16" spans="1:17" ht="48" x14ac:dyDescent="0.2">
      <c r="A16" s="6" t="s">
        <v>48</v>
      </c>
      <c r="B16" s="7" t="s">
        <v>49</v>
      </c>
      <c r="C16" s="14">
        <f>IFERROR(SUM(C15/C13),0)</f>
        <v>4.2449837533257186</v>
      </c>
      <c r="D16" s="14">
        <f>IFERROR(SUM(D15/D13),0)</f>
        <v>-0.91298987509548579</v>
      </c>
      <c r="E16" s="14">
        <f>IFERROR(SUM(E15/E13),0)</f>
        <v>1.357551900725422</v>
      </c>
      <c r="F16" s="14">
        <f>IFERROR(SUM(F15/F13),0)</f>
        <v>-9.6620058845990744E-2</v>
      </c>
      <c r="G16" s="14">
        <f t="shared" ref="G16:H16" si="9">IFERROR(SUM(G15/G13),0)</f>
        <v>0.11172591287711417</v>
      </c>
      <c r="H16" s="14">
        <f t="shared" si="9"/>
        <v>-4.4990630573707009E-2</v>
      </c>
    </row>
    <row r="17" spans="1:17" ht="48" x14ac:dyDescent="0.2">
      <c r="A17" s="6" t="s">
        <v>50</v>
      </c>
      <c r="B17" s="7" t="s">
        <v>51</v>
      </c>
      <c r="C17" s="33" t="str">
        <f>IF(C4&gt;=0, "Normal", "Risk")</f>
        <v>Normal</v>
      </c>
      <c r="D17" s="33" t="str">
        <f>IF(D4&gt;=0, "Normal", "Risk")</f>
        <v>Risk</v>
      </c>
      <c r="E17" s="33" t="str">
        <f>IF(E4&gt;=0, "Normal", "Risk")</f>
        <v>Normal</v>
      </c>
      <c r="F17" s="33" t="str">
        <f>IF(F4&gt;=0, "Normal", "Risk")</f>
        <v>Normal</v>
      </c>
      <c r="G17" s="33" t="str">
        <f t="shared" ref="G17:H17" si="10">IF(G4&gt;=0, "Normal", "Risk")</f>
        <v>Risk</v>
      </c>
      <c r="H17" s="33" t="str">
        <f t="shared" si="10"/>
        <v>Normal</v>
      </c>
      <c r="M17" s="4"/>
      <c r="N17" s="4"/>
      <c r="O17" s="4"/>
      <c r="P17" s="4"/>
      <c r="Q17" s="4"/>
    </row>
    <row r="18" spans="1:17" ht="48" x14ac:dyDescent="0.2">
      <c r="A18" s="6" t="s">
        <v>52</v>
      </c>
      <c r="B18" s="7" t="s">
        <v>53</v>
      </c>
      <c r="C18" s="33" t="str">
        <f>IF(C9&gt;=0, "Normal", "Risk")</f>
        <v>Normal</v>
      </c>
      <c r="D18" s="33" t="str">
        <f>IF(D9&gt;=0, "Normal", "Risk")</f>
        <v>Normal</v>
      </c>
      <c r="E18" s="33" t="str">
        <f>IF(E9&gt;=0, "Normal", "Risk")</f>
        <v>Risk</v>
      </c>
      <c r="F18" s="33" t="str">
        <f>IF(F9&gt;=0, "Normal", "Risk")</f>
        <v>Risk</v>
      </c>
      <c r="G18" s="33" t="str">
        <f t="shared" ref="G18:H18" si="11">IF(G9&gt;=0, "Normal", "Risk")</f>
        <v>Normal</v>
      </c>
      <c r="H18" s="33" t="str">
        <f t="shared" si="11"/>
        <v>Normal</v>
      </c>
      <c r="M18" s="4"/>
      <c r="N18" s="4"/>
      <c r="O18" s="4"/>
      <c r="P18" s="4"/>
      <c r="Q18" s="4"/>
    </row>
    <row r="19" spans="1:17" ht="48" x14ac:dyDescent="0.2">
      <c r="A19" s="6" t="s">
        <v>54</v>
      </c>
      <c r="B19" s="7" t="s">
        <v>55</v>
      </c>
      <c r="C19" s="33" t="str">
        <f>IF(C16&gt;1, "Normal", "Risk")</f>
        <v>Normal</v>
      </c>
      <c r="D19" s="33" t="str">
        <f>IF(D16&gt;1, "Normal", "Risk")</f>
        <v>Risk</v>
      </c>
      <c r="E19" s="33" t="str">
        <f>IF(E16&gt;1, "Normal", "Risk")</f>
        <v>Normal</v>
      </c>
      <c r="F19" s="33" t="str">
        <f>IF(F16&gt;1, "Normal", "Risk")</f>
        <v>Risk</v>
      </c>
      <c r="G19" s="33" t="str">
        <f t="shared" ref="G19:H19" si="12">IF(G16&gt;1, "Normal", "Risk")</f>
        <v>Risk</v>
      </c>
      <c r="H19" s="33" t="str">
        <f t="shared" si="12"/>
        <v>Risk</v>
      </c>
      <c r="M19" s="4"/>
      <c r="N19" s="4"/>
      <c r="O19" s="4"/>
      <c r="P19" s="4"/>
      <c r="Q19" s="4"/>
    </row>
    <row r="20" spans="1:17" x14ac:dyDescent="0.2">
      <c r="A20" s="34"/>
      <c r="B20" s="6" t="s">
        <v>56</v>
      </c>
      <c r="C20" s="35">
        <f>IF(AND(C17="Normal",C18="Normal",C19="Normal"),1,IF(AND(C17="Normal",C18="Normal",C19="Risk"),2,IF(AND(C17="Normal",C18="Risk",C19="Normal"),3,IF(AND(C17="Normal",C18="Risk",C19="Risk"),4,IF(AND(C17="Risk",C18="Normal",C19="Normal"),5,IF(AND(C17="Risk",C18="Normal",C19="Risk"),6,IF(AND(C17="Risk",C18="Risk",C19="Normal"),7,IF(AND(C17="Risk",C18="Risk",C19="Risk"),8,"Unknows"))))))))</f>
        <v>1</v>
      </c>
      <c r="D20" s="35">
        <f>IF(AND(D17="Normal",D18="Normal",D19="Normal"),1,IF(AND(D17="Normal",D18="Normal",D19="Risk"),2,IF(AND(D17="Normal",D18="Risk",D19="Normal"),3,IF(AND(D17="Normal",D18="Risk",D19="Risk"),4,IF(AND(D17="Risk",D18="Normal",D19="Normal"),5,IF(AND(D17="Risk",D18="Normal",D19="Risk"),6,IF(AND(D17="Risk",D18="Risk",D19="Normal"),7,IF(AND(D17="Risk",D18="Risk",D19="Risk"),8,"Unknows"))))))))</f>
        <v>6</v>
      </c>
      <c r="E20" s="35">
        <f>IF(AND(E17="Normal",E18="Normal",E19="Normal"),1,IF(AND(E17="Normal",E18="Normal",E19="Risk"),2,IF(AND(E17="Normal",E18="Risk",E19="Normal"),3,IF(AND(E17="Normal",E18="Risk",E19="Risk"),4,IF(AND(E17="Risk",E18="Normal",E19="Normal"),5,IF(AND(E17="Risk",E18="Normal",E19="Risk"),6,IF(AND(E17="Risk",E18="Risk",E19="Normal"),7,IF(AND(E17="Risk",E18="Risk",E19="Risk"),8,"Unknows"))))))))</f>
        <v>3</v>
      </c>
      <c r="F20" s="35">
        <f>IF(AND(F17="Normal",F18="Normal",F19="Normal"),1,IF(AND(F17="Normal",F18="Normal",F19="Risk"),2,IF(AND(F17="Normal",F18="Risk",F19="Normal"),3,IF(AND(F17="Normal",F18="Risk",F19="Risk"),4,IF(AND(F17="Risk",F18="Normal",F19="Normal"),5,IF(AND(F17="Risk",F18="Normal",F19="Risk"),6,IF(AND(F17="Risk",F18="Risk",F19="Normal"),7,IF(AND(F17="Risk",F18="Risk",F19="Risk"),8,"Unknows"))))))))</f>
        <v>4</v>
      </c>
      <c r="G20" s="35">
        <f t="shared" ref="G20:H20" si="13">IF(AND(G17="Normal",G18="Normal",G19="Normal"),1,IF(AND(G17="Normal",G18="Normal",G19="Risk"),2,IF(AND(G17="Normal",G18="Risk",G19="Normal"),3,IF(AND(G17="Normal",G18="Risk",G19="Risk"),4,IF(AND(G17="Risk",G18="Normal",G19="Normal"),5,IF(AND(G17="Risk",G18="Normal",G19="Risk"),6,IF(AND(G17="Risk",G18="Risk",G19="Normal"),7,IF(AND(G17="Risk",G18="Risk",G19="Risk"),8,"Unknows"))))))))</f>
        <v>6</v>
      </c>
      <c r="H20" s="35">
        <f t="shared" si="13"/>
        <v>2</v>
      </c>
      <c r="M20" s="4"/>
      <c r="N20" s="4"/>
      <c r="O20" s="4"/>
      <c r="P20" s="4"/>
      <c r="Q20" s="4"/>
    </row>
    <row r="21" spans="1:17" ht="120" x14ac:dyDescent="0.2">
      <c r="A21" s="36"/>
      <c r="B21" s="37" t="s">
        <v>57</v>
      </c>
      <c r="C21" s="38" t="str">
        <f t="shared" ref="C21:H21" si="14">VLOOKUP(C20,$M$4:$Q$12,5,0)</f>
        <v xml:space="preserve"> ไม่ต้องปรับ</v>
      </c>
      <c r="D21" s="38" t="str">
        <f t="shared" si="14"/>
        <v xml:space="preserve">ปรับ EBITDA ให้เป็น + และทบทวนการลงทุนอีกครั้งเพื่อเงินเหลือจาก EBITDA – ลงทุนจะไปเพิ่ม NWC </v>
      </c>
      <c r="E21" s="38" t="str">
        <f t="shared" si="14"/>
        <v>ทบทวนการลงทุนอีกครั้ง ทำFeasibility study</v>
      </c>
      <c r="F21" s="38" t="str">
        <f t="shared" si="14"/>
        <v xml:space="preserve"> ปรับลดการลงทุนให้ &lt; 20% EBITDA เพื่อเงินเหลือจาก EBITDA – ลงทุนจะไปเพิ่ม NWC  ทำ Feasibility study</v>
      </c>
      <c r="G21" s="38" t="str">
        <f t="shared" si="14"/>
        <v xml:space="preserve">ปรับ EBITDA ให้เป็น + และทบทวนการลงทุนอีกครั้งเพื่อเงินเหลือจาก EBITDA – ลงทุนจะไปเพิ่ม NWC </v>
      </c>
      <c r="H21" s="38" t="str">
        <f t="shared" si="14"/>
        <v xml:space="preserve">ทบทวนการลงทุนอีกครั้ง </v>
      </c>
      <c r="M21" s="4"/>
      <c r="N21" s="4"/>
      <c r="O21" s="4"/>
      <c r="P21" s="4"/>
      <c r="Q21" s="4"/>
    </row>
  </sheetData>
  <mergeCells count="2">
    <mergeCell ref="Q2:Q3"/>
    <mergeCell ref="A9:A10"/>
  </mergeCells>
  <conditionalFormatting sqref="D22:D1048576">
    <cfRule type="containsText" dxfId="46" priority="52" operator="containsText" text="เกินดุล">
      <formula>NOT(ISERROR(SEARCH("เกินดุล",D22)))</formula>
    </cfRule>
    <cfRule type="containsText" dxfId="45" priority="53" operator="containsText" text="สมดุล">
      <formula>NOT(ISERROR(SEARCH("สมดุล",D22)))</formula>
    </cfRule>
    <cfRule type="containsText" dxfId="44" priority="54" operator="containsText" text="ขาดดุล">
      <formula>NOT(ISERROR(SEARCH("ขาดดุล",D22)))</formula>
    </cfRule>
    <cfRule type="containsText" dxfId="43" priority="55" operator="containsText" text="สมดุล">
      <formula>NOT(ISERROR(SEARCH("สมดุล",D22)))</formula>
    </cfRule>
  </conditionalFormatting>
  <conditionalFormatting sqref="A5:H5">
    <cfRule type="containsText" dxfId="42" priority="48" operator="containsText" text="เกินดุล">
      <formula>NOT(ISERROR(SEARCH("เกินดุล",A5)))</formula>
    </cfRule>
    <cfRule type="containsText" dxfId="41" priority="49" operator="containsText" text="สมดุล">
      <formula>NOT(ISERROR(SEARCH("สมดุล",A5)))</formula>
    </cfRule>
    <cfRule type="containsText" dxfId="40" priority="50" operator="containsText" text="ขาดดุล">
      <formula>NOT(ISERROR(SEARCH("ขาดดุล",A5)))</formula>
    </cfRule>
    <cfRule type="containsText" dxfId="39" priority="51" operator="containsText" text="สมดุล">
      <formula>NOT(ISERROR(SEARCH("สมดุล",A5)))</formula>
    </cfRule>
  </conditionalFormatting>
  <conditionalFormatting sqref="C9:H9">
    <cfRule type="cellIs" dxfId="38" priority="47" operator="lessThan">
      <formula>0</formula>
    </cfRule>
  </conditionalFormatting>
  <conditionalFormatting sqref="C20:H20">
    <cfRule type="cellIs" dxfId="37" priority="74" operator="equal">
      <formula>8</formula>
    </cfRule>
    <cfRule type="cellIs" dxfId="36" priority="75" operator="equal">
      <formula>7</formula>
    </cfRule>
    <cfRule type="cellIs" dxfId="35" priority="76" operator="equal">
      <formula>6</formula>
    </cfRule>
    <cfRule type="cellIs" dxfId="34" priority="77" operator="equal">
      <formula>5</formula>
    </cfRule>
    <cfRule type="cellIs" dxfId="33" priority="78" operator="equal">
      <formula>4</formula>
    </cfRule>
    <cfRule type="cellIs" dxfId="32" priority="79" operator="equal">
      <formula>3</formula>
    </cfRule>
    <cfRule type="cellIs" dxfId="31" priority="80" operator="equal">
      <formula>2</formula>
    </cfRule>
    <cfRule type="cellIs" dxfId="30" priority="81" operator="equal">
      <formula>1</formula>
    </cfRule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1"/>
  <sheetViews>
    <sheetView tabSelected="1" workbookViewId="0">
      <pane xSplit="2" topLeftCell="C1" activePane="topRight" state="frozen"/>
      <selection pane="topRight" activeCell="B17" sqref="B17"/>
    </sheetView>
  </sheetViews>
  <sheetFormatPr defaultColWidth="9.125" defaultRowHeight="24" x14ac:dyDescent="0.2"/>
  <cols>
    <col min="1" max="1" width="19.375" style="39" customWidth="1"/>
    <col min="2" max="2" width="65.75" style="40" customWidth="1"/>
    <col min="3" max="3" width="18.375" style="41" customWidth="1"/>
    <col min="4" max="6" width="18.375" style="3" customWidth="1"/>
    <col min="7" max="9" width="18.375" style="4" customWidth="1"/>
    <col min="10" max="12" width="9.125" style="4"/>
    <col min="13" max="13" width="6.375" style="5" hidden="1" customWidth="1"/>
    <col min="14" max="14" width="11.875" style="5" hidden="1" customWidth="1"/>
    <col min="15" max="15" width="12.375" style="5" hidden="1" customWidth="1"/>
    <col min="16" max="16" width="14" style="5" hidden="1" customWidth="1"/>
    <col min="17" max="17" width="72.375" style="5" hidden="1" customWidth="1"/>
    <col min="18" max="18" width="9.125" style="4" hidden="1" customWidth="1"/>
    <col min="19" max="16384" width="9.125" style="4"/>
  </cols>
  <sheetData>
    <row r="1" spans="1:17" x14ac:dyDescent="0.55000000000000004">
      <c r="A1" s="1" t="s">
        <v>0</v>
      </c>
      <c r="B1" s="2" t="s">
        <v>1</v>
      </c>
      <c r="C1" s="42" t="s">
        <v>122</v>
      </c>
      <c r="D1" s="42" t="s">
        <v>123</v>
      </c>
      <c r="E1" s="42" t="s">
        <v>124</v>
      </c>
      <c r="F1" s="43" t="s">
        <v>125</v>
      </c>
      <c r="G1" s="43" t="s">
        <v>126</v>
      </c>
      <c r="H1" s="43" t="s">
        <v>127</v>
      </c>
      <c r="I1" s="43" t="s">
        <v>128</v>
      </c>
    </row>
    <row r="2" spans="1:17" x14ac:dyDescent="0.2">
      <c r="A2" s="6" t="s">
        <v>2</v>
      </c>
      <c r="B2" s="7" t="s">
        <v>3</v>
      </c>
      <c r="C2" s="8">
        <f>745595721.43-14086134.3-36000000</f>
        <v>695509587.13</v>
      </c>
      <c r="D2" s="8">
        <f>77963173.61-1716345.49</f>
        <v>76246828.120000005</v>
      </c>
      <c r="E2" s="8">
        <f>111216112.64-11756327.74</f>
        <v>99459784.900000006</v>
      </c>
      <c r="F2" s="8">
        <f>154607456.32-3184005.29</f>
        <v>151423451.03</v>
      </c>
      <c r="G2" s="8">
        <f>88012200-1500000</f>
        <v>86512200</v>
      </c>
      <c r="H2" s="8">
        <f>187742312.31-2314255.13</f>
        <v>185428057.18000001</v>
      </c>
      <c r="I2" s="8">
        <f>65106000-2026000</f>
        <v>63080000</v>
      </c>
      <c r="M2" s="9"/>
      <c r="N2" s="10" t="s">
        <v>4</v>
      </c>
      <c r="O2" s="11" t="s">
        <v>5</v>
      </c>
      <c r="P2" s="11" t="s">
        <v>6</v>
      </c>
      <c r="Q2" s="47"/>
    </row>
    <row r="3" spans="1:17" ht="48.75" thickBot="1" x14ac:dyDescent="0.25">
      <c r="A3" s="6" t="s">
        <v>7</v>
      </c>
      <c r="B3" s="7" t="s">
        <v>8</v>
      </c>
      <c r="C3" s="8">
        <f>741943120-37300000-50000000</f>
        <v>654643120</v>
      </c>
      <c r="D3" s="8">
        <f>79658120-5087689</f>
        <v>74570431</v>
      </c>
      <c r="E3" s="8">
        <f>104129405.13-7641554</f>
        <v>96487851.129999995</v>
      </c>
      <c r="F3" s="8">
        <f>153352340-10690000</f>
        <v>142662340</v>
      </c>
      <c r="G3" s="8">
        <f>90600205-4300000</f>
        <v>86300205</v>
      </c>
      <c r="H3" s="8">
        <f>199486319.16-14377048.39</f>
        <v>185109270.76999998</v>
      </c>
      <c r="I3" s="8">
        <f>66460000-4330000</f>
        <v>62130000</v>
      </c>
      <c r="M3" s="12"/>
      <c r="N3" s="12"/>
      <c r="O3" s="13" t="s">
        <v>9</v>
      </c>
      <c r="P3" s="12"/>
      <c r="Q3" s="48"/>
    </row>
    <row r="4" spans="1:17" ht="49.5" thickTop="1" thickBot="1" x14ac:dyDescent="0.25">
      <c r="A4" s="6" t="s">
        <v>10</v>
      </c>
      <c r="B4" s="7" t="s">
        <v>11</v>
      </c>
      <c r="C4" s="14">
        <f>SUM(C2-C3)</f>
        <v>40866467.129999995</v>
      </c>
      <c r="D4" s="14">
        <f>SUM(D2-D3)</f>
        <v>1676397.1200000048</v>
      </c>
      <c r="E4" s="14">
        <f>SUM(E2-E3)</f>
        <v>2971933.7700000107</v>
      </c>
      <c r="F4" s="14">
        <f>SUM(F2-F3)</f>
        <v>8761111.0300000012</v>
      </c>
      <c r="G4" s="14">
        <f t="shared" ref="G4:I4" si="0">SUM(G2-G3)</f>
        <v>211995</v>
      </c>
      <c r="H4" s="14">
        <f t="shared" si="0"/>
        <v>318786.41000002623</v>
      </c>
      <c r="I4" s="14">
        <f t="shared" si="0"/>
        <v>950000</v>
      </c>
      <c r="M4" s="15">
        <v>1</v>
      </c>
      <c r="N4" s="15" t="s">
        <v>12</v>
      </c>
      <c r="O4" s="15" t="s">
        <v>13</v>
      </c>
      <c r="P4" s="15" t="s">
        <v>14</v>
      </c>
      <c r="Q4" s="16" t="s">
        <v>15</v>
      </c>
    </row>
    <row r="5" spans="1:17" ht="24.75" thickBot="1" x14ac:dyDescent="0.25">
      <c r="A5" s="6" t="s">
        <v>16</v>
      </c>
      <c r="B5" s="7" t="s">
        <v>17</v>
      </c>
      <c r="C5" s="17" t="str">
        <f>IF(C4&gt;0,"เกินดุล",IF(C4=0,"สมดุล","ขาดดุล"))</f>
        <v>เกินดุล</v>
      </c>
      <c r="D5" s="17" t="str">
        <f>IF(D4&gt;0,"เกินดุล",IF(D4=0,"สมดุล","ขาดดุล"))</f>
        <v>เกินดุล</v>
      </c>
      <c r="E5" s="17" t="str">
        <f>IF(E4&gt;0,"เกินดุล",IF(E4=0,"สมดุล","ขาดดุล"))</f>
        <v>เกินดุล</v>
      </c>
      <c r="F5" s="17" t="str">
        <f>IF(F4&gt;0,"เกินดุล",IF(F4=0,"สมดุล","ขาดดุล"))</f>
        <v>เกินดุล</v>
      </c>
      <c r="G5" s="17" t="str">
        <f t="shared" ref="G5:I5" si="1">IF(G4&gt;0,"เกินดุล",IF(G4=0,"สมดุล","ขาดดุล"))</f>
        <v>เกินดุล</v>
      </c>
      <c r="H5" s="17" t="str">
        <f t="shared" si="1"/>
        <v>เกินดุล</v>
      </c>
      <c r="I5" s="17" t="str">
        <f t="shared" si="1"/>
        <v>เกินดุล</v>
      </c>
      <c r="M5" s="18">
        <v>2</v>
      </c>
      <c r="N5" s="18" t="s">
        <v>12</v>
      </c>
      <c r="O5" s="18" t="s">
        <v>13</v>
      </c>
      <c r="P5" s="19" t="s">
        <v>18</v>
      </c>
      <c r="Q5" s="20" t="s">
        <v>19</v>
      </c>
    </row>
    <row r="6" spans="1:17" ht="24.75" thickBot="1" x14ac:dyDescent="0.25">
      <c r="A6" s="6" t="s">
        <v>20</v>
      </c>
      <c r="B6" s="7" t="s">
        <v>21</v>
      </c>
      <c r="C6" s="14">
        <f>IF(C4&lt;=0,0,ROUNDUP((C4*20%),2))</f>
        <v>8173293.4299999997</v>
      </c>
      <c r="D6" s="14">
        <f>IF(D4&lt;=0,0,ROUNDUP((D4*20%),2))</f>
        <v>335279.43</v>
      </c>
      <c r="E6" s="14">
        <f>IF(E4&lt;=0,0,ROUNDUP((E4*20%),2))</f>
        <v>594386.76</v>
      </c>
      <c r="F6" s="14">
        <f>IF(F4&lt;=0,0,ROUNDUP((F4*20%),2))</f>
        <v>1752222.21</v>
      </c>
      <c r="G6" s="14">
        <f t="shared" ref="G6:H6" si="2">IF(G4&lt;=0,0,ROUNDUP((G4*20%),2))</f>
        <v>42399</v>
      </c>
      <c r="H6" s="14">
        <f t="shared" si="2"/>
        <v>63757.29</v>
      </c>
      <c r="I6" s="14">
        <f t="shared" ref="I6" si="3">IF(I4&lt;=0,0,ROUNDUP((I4*20%),2))</f>
        <v>190000</v>
      </c>
      <c r="M6" s="21">
        <v>3</v>
      </c>
      <c r="N6" s="21" t="s">
        <v>12</v>
      </c>
      <c r="O6" s="21" t="s">
        <v>22</v>
      </c>
      <c r="P6" s="21" t="s">
        <v>14</v>
      </c>
      <c r="Q6" s="22" t="s">
        <v>23</v>
      </c>
    </row>
    <row r="7" spans="1:17" ht="24.75" thickBot="1" x14ac:dyDescent="0.25">
      <c r="A7" s="6" t="s">
        <v>24</v>
      </c>
      <c r="B7" s="7" t="s">
        <v>25</v>
      </c>
      <c r="C7" s="14">
        <f>SUM([1]Planfin2563!C91)</f>
        <v>0</v>
      </c>
      <c r="D7" s="14">
        <v>140900</v>
      </c>
      <c r="E7" s="14">
        <v>22591.51</v>
      </c>
      <c r="F7" s="14">
        <v>8704230</v>
      </c>
      <c r="G7" s="14">
        <v>850000</v>
      </c>
      <c r="H7" s="14">
        <f>SUM([1]Planfin2563!H91)</f>
        <v>0</v>
      </c>
      <c r="I7" s="14">
        <v>190000</v>
      </c>
      <c r="M7" s="23">
        <v>4</v>
      </c>
      <c r="N7" s="23" t="s">
        <v>12</v>
      </c>
      <c r="O7" s="23" t="s">
        <v>22</v>
      </c>
      <c r="P7" s="24" t="s">
        <v>18</v>
      </c>
      <c r="Q7" s="25" t="s">
        <v>26</v>
      </c>
    </row>
    <row r="8" spans="1:17" ht="24.75" thickBot="1" x14ac:dyDescent="0.25">
      <c r="A8" s="6" t="s">
        <v>27</v>
      </c>
      <c r="B8" s="7" t="s">
        <v>28</v>
      </c>
      <c r="C8" s="14">
        <f>IF(C4=0,0,(C7/C4)*100)</f>
        <v>0</v>
      </c>
      <c r="D8" s="14">
        <f>IF(D4=0,0,(D7/D4)*100)</f>
        <v>8.4049297340715778</v>
      </c>
      <c r="E8" s="14">
        <f>IF(E4=0,0,(E7/E4)*100)</f>
        <v>0.76016196013681414</v>
      </c>
      <c r="F8" s="14">
        <f>IF(F4=0,0,(F7/F4)*100)</f>
        <v>99.350755517134431</v>
      </c>
      <c r="G8" s="14">
        <f t="shared" ref="G8:I8" si="4">IF(G4=0,0,(G7/G4)*100)</f>
        <v>400.95285266161937</v>
      </c>
      <c r="H8" s="14">
        <f t="shared" si="4"/>
        <v>0</v>
      </c>
      <c r="I8" s="14">
        <f t="shared" si="4"/>
        <v>20</v>
      </c>
      <c r="M8" s="26">
        <v>5</v>
      </c>
      <c r="N8" s="27" t="s">
        <v>18</v>
      </c>
      <c r="O8" s="27" t="s">
        <v>29</v>
      </c>
      <c r="P8" s="26" t="s">
        <v>14</v>
      </c>
      <c r="Q8" s="28" t="s">
        <v>30</v>
      </c>
    </row>
    <row r="9" spans="1:17" ht="24.75" thickBot="1" x14ac:dyDescent="0.25">
      <c r="A9" s="49" t="s">
        <v>31</v>
      </c>
      <c r="B9" s="7" t="s">
        <v>32</v>
      </c>
      <c r="C9" s="14">
        <f>C6-C7</f>
        <v>8173293.4299999997</v>
      </c>
      <c r="D9" s="14">
        <f>D6-D7</f>
        <v>194379.43</v>
      </c>
      <c r="E9" s="14">
        <f>E6-E7</f>
        <v>571795.25</v>
      </c>
      <c r="F9" s="14">
        <f>F6-F7</f>
        <v>-6952007.79</v>
      </c>
      <c r="G9" s="14">
        <f t="shared" ref="G9:H9" si="5">G6-G7</f>
        <v>-807601</v>
      </c>
      <c r="H9" s="14">
        <f t="shared" si="5"/>
        <v>63757.29</v>
      </c>
      <c r="I9" s="14">
        <f t="shared" ref="I9" si="6">I6-I7</f>
        <v>0</v>
      </c>
      <c r="M9" s="23">
        <v>6</v>
      </c>
      <c r="N9" s="24" t="s">
        <v>18</v>
      </c>
      <c r="O9" s="24" t="s">
        <v>29</v>
      </c>
      <c r="P9" s="24" t="s">
        <v>33</v>
      </c>
      <c r="Q9" s="25" t="s">
        <v>34</v>
      </c>
    </row>
    <row r="10" spans="1:17" ht="24.75" thickBot="1" x14ac:dyDescent="0.25">
      <c r="A10" s="49"/>
      <c r="B10" s="7" t="s">
        <v>35</v>
      </c>
      <c r="C10" s="29" t="str">
        <f>IF(C9&gt;=0,"ไม่เกิน","เกิน")</f>
        <v>ไม่เกิน</v>
      </c>
      <c r="D10" s="29" t="str">
        <f>IF(D9&gt;=0,"ไม่เกิน","เกิน")</f>
        <v>ไม่เกิน</v>
      </c>
      <c r="E10" s="29" t="str">
        <f>IF(E9&gt;=0,"ไม่เกิน","เกิน")</f>
        <v>ไม่เกิน</v>
      </c>
      <c r="F10" s="29" t="str">
        <f>IF(F9&gt;=0,"ไม่เกิน","เกิน")</f>
        <v>เกิน</v>
      </c>
      <c r="G10" s="29" t="str">
        <f t="shared" ref="G10:I10" si="7">IF(G9&gt;=0,"ไม่เกิน","เกิน")</f>
        <v>เกิน</v>
      </c>
      <c r="H10" s="29" t="str">
        <f t="shared" si="7"/>
        <v>ไม่เกิน</v>
      </c>
      <c r="I10" s="29" t="str">
        <f t="shared" si="7"/>
        <v>ไม่เกิน</v>
      </c>
      <c r="M10" s="23"/>
      <c r="N10" s="24"/>
      <c r="O10" s="24"/>
      <c r="P10" s="24"/>
      <c r="Q10" s="25"/>
    </row>
    <row r="11" spans="1:17" ht="24.75" thickBot="1" x14ac:dyDescent="0.25">
      <c r="A11" s="6" t="s">
        <v>36</v>
      </c>
      <c r="B11" s="7" t="s">
        <v>37</v>
      </c>
      <c r="C11" s="14">
        <v>37260470.380000003</v>
      </c>
      <c r="D11" s="14">
        <v>648446.89</v>
      </c>
      <c r="E11" s="14">
        <v>119912.51</v>
      </c>
      <c r="F11" s="14">
        <v>41662514.109999999</v>
      </c>
      <c r="G11" s="14">
        <v>1958519.28</v>
      </c>
      <c r="H11" s="14">
        <v>-16248469.189999999</v>
      </c>
      <c r="I11" s="14">
        <v>1892753.97</v>
      </c>
      <c r="M11" s="21">
        <v>7</v>
      </c>
      <c r="N11" s="30" t="s">
        <v>18</v>
      </c>
      <c r="O11" s="30" t="s">
        <v>33</v>
      </c>
      <c r="P11" s="21" t="s">
        <v>14</v>
      </c>
      <c r="Q11" s="22" t="s">
        <v>38</v>
      </c>
    </row>
    <row r="12" spans="1:17" x14ac:dyDescent="0.2">
      <c r="A12" s="6" t="s">
        <v>39</v>
      </c>
      <c r="B12" s="7" t="s">
        <v>40</v>
      </c>
      <c r="C12" s="14">
        <f>173203082.88-277958282.25</f>
        <v>-104755199.37</v>
      </c>
      <c r="D12" s="14">
        <f>13981751.04-20083851.18</f>
        <v>-6102100.1400000006</v>
      </c>
      <c r="E12" s="14">
        <f>15734553.98-26708322.23</f>
        <v>-10973768.25</v>
      </c>
      <c r="F12" s="14">
        <f>61453085.02-38158157.23</f>
        <v>23294927.790000007</v>
      </c>
      <c r="G12" s="14">
        <f>17099755.55-23939967.88</f>
        <v>-6840212.3299999982</v>
      </c>
      <c r="H12" s="14">
        <f>19399408.32-51416456.4</f>
        <v>-32017048.079999998</v>
      </c>
      <c r="I12" s="14">
        <f>16939084.03-20452939.46</f>
        <v>-3513855.4299999997</v>
      </c>
      <c r="M12" s="23">
        <v>8</v>
      </c>
      <c r="N12" s="24" t="s">
        <v>18</v>
      </c>
      <c r="O12" s="24" t="s">
        <v>33</v>
      </c>
      <c r="P12" s="24" t="s">
        <v>18</v>
      </c>
      <c r="Q12" s="25" t="s">
        <v>41</v>
      </c>
    </row>
    <row r="13" spans="1:17" x14ac:dyDescent="0.2">
      <c r="A13" s="6" t="s">
        <v>42</v>
      </c>
      <c r="B13" s="7" t="s">
        <v>43</v>
      </c>
      <c r="C13" s="14">
        <f>SUM(C3/12)</f>
        <v>54553593.333333336</v>
      </c>
      <c r="D13" s="14">
        <f>SUM(D3/12)</f>
        <v>6214202.583333333</v>
      </c>
      <c r="E13" s="14">
        <f>SUM(E3/12)</f>
        <v>8040654.2608333332</v>
      </c>
      <c r="F13" s="14">
        <f>SUM(F3/12)</f>
        <v>11888528.333333334</v>
      </c>
      <c r="G13" s="14">
        <f t="shared" ref="G13:H13" si="8">SUM(G3/12)</f>
        <v>7191683.75</v>
      </c>
      <c r="H13" s="14">
        <f t="shared" si="8"/>
        <v>15425772.564166665</v>
      </c>
      <c r="I13" s="14">
        <f t="shared" ref="I13" si="9">SUM(I3/12)</f>
        <v>5177500</v>
      </c>
    </row>
    <row r="14" spans="1:17" x14ac:dyDescent="0.2">
      <c r="A14" s="6" t="s">
        <v>44</v>
      </c>
      <c r="B14" s="7" t="s">
        <v>45</v>
      </c>
      <c r="C14" s="14">
        <f>IFERROR(SUM(C11/C13),0)</f>
        <v>0.68300671144302261</v>
      </c>
      <c r="D14" s="14">
        <f>IFERROR(SUM(D11/D13),0)</f>
        <v>0.10434917132234357</v>
      </c>
      <c r="E14" s="14">
        <f>IFERROR(SUM(E11/E13),0)</f>
        <v>1.4913277714738138E-2</v>
      </c>
      <c r="F14" s="14">
        <f>IFERROR(SUM(F11/F13),0)</f>
        <v>3.5044298959346944</v>
      </c>
      <c r="G14" s="14">
        <f t="shared" ref="G14:I14" si="10">IFERROR(SUM(G11/G13),0)</f>
        <v>0.27233111856455033</v>
      </c>
      <c r="H14" s="14">
        <f t="shared" si="10"/>
        <v>-1.0533326044067588</v>
      </c>
      <c r="I14" s="14">
        <f t="shared" si="10"/>
        <v>0.36557295412844037</v>
      </c>
    </row>
    <row r="15" spans="1:17" x14ac:dyDescent="0.2">
      <c r="A15" s="31" t="s">
        <v>46</v>
      </c>
      <c r="B15" s="7" t="s">
        <v>47</v>
      </c>
      <c r="C15" s="32">
        <f>IF(AND(C11&lt;0,C9&lt;0),(C9+C11),(C11-C9))</f>
        <v>29087176.950000003</v>
      </c>
      <c r="D15" s="32">
        <f>IF(AND(D11&lt;0,D9&lt;0),(D9+D11),(D11-D9))</f>
        <v>454067.46</v>
      </c>
      <c r="E15" s="32">
        <f>IF(AND(E11&lt;0,E9&lt;0),(E9+E11),(E11-E9))</f>
        <v>-451882.74</v>
      </c>
      <c r="F15" s="32">
        <f>IF(AND(F11&lt;0,F9&lt;0),(F9+F11),(F11-F9))</f>
        <v>48614521.899999999</v>
      </c>
      <c r="G15" s="32">
        <f t="shared" ref="G15:H15" si="11">IF(AND(G11&lt;0,G9&lt;0),(G9+G11),(G11-G9))</f>
        <v>2766120.2800000003</v>
      </c>
      <c r="H15" s="32">
        <f t="shared" si="11"/>
        <v>-16312226.479999999</v>
      </c>
      <c r="I15" s="32">
        <f t="shared" ref="I15" si="12">IF(AND(I11&lt;0,I9&lt;0),(I9+I11),(I11-I9))</f>
        <v>1892753.97</v>
      </c>
    </row>
    <row r="16" spans="1:17" ht="48" x14ac:dyDescent="0.2">
      <c r="A16" s="6" t="s">
        <v>48</v>
      </c>
      <c r="B16" s="7" t="s">
        <v>49</v>
      </c>
      <c r="C16" s="14">
        <f>IFERROR(SUM(C15/C13),0)</f>
        <v>0.53318535357096553</v>
      </c>
      <c r="D16" s="14">
        <f>IFERROR(SUM(D15/D13),0)</f>
        <v>7.3069304373472116E-2</v>
      </c>
      <c r="E16" s="14">
        <f>IFERROR(SUM(E15/E13),0)</f>
        <v>-5.6199747600286308E-2</v>
      </c>
      <c r="F16" s="14">
        <f>IFERROR(SUM(F15/F13),0)</f>
        <v>4.0891959489799481</v>
      </c>
      <c r="G16" s="14">
        <f t="shared" ref="G16:I16" si="13">IFERROR(SUM(G15/G13),0)</f>
        <v>0.38462763049056492</v>
      </c>
      <c r="H16" s="14">
        <f t="shared" si="13"/>
        <v>-1.05746577114021</v>
      </c>
      <c r="I16" s="14">
        <f t="shared" si="13"/>
        <v>0.36557295412844037</v>
      </c>
    </row>
    <row r="17" spans="1:17" ht="48" x14ac:dyDescent="0.2">
      <c r="A17" s="6" t="s">
        <v>50</v>
      </c>
      <c r="B17" s="7" t="s">
        <v>51</v>
      </c>
      <c r="C17" s="33" t="str">
        <f>IF(C4&gt;=0, "Normal", "Risk")</f>
        <v>Normal</v>
      </c>
      <c r="D17" s="33" t="str">
        <f>IF(D4&gt;=0, "Normal", "Risk")</f>
        <v>Normal</v>
      </c>
      <c r="E17" s="33" t="str">
        <f>IF(E4&gt;=0, "Normal", "Risk")</f>
        <v>Normal</v>
      </c>
      <c r="F17" s="33" t="str">
        <f>IF(F4&gt;=0, "Normal", "Risk")</f>
        <v>Normal</v>
      </c>
      <c r="G17" s="33" t="str">
        <f t="shared" ref="G17:H17" si="14">IF(G4&gt;=0, "Normal", "Risk")</f>
        <v>Normal</v>
      </c>
      <c r="H17" s="33" t="str">
        <f t="shared" si="14"/>
        <v>Normal</v>
      </c>
      <c r="I17" s="33" t="str">
        <f t="shared" ref="I17" si="15">IF(I4&gt;=0, "Normal", "Risk")</f>
        <v>Normal</v>
      </c>
      <c r="M17" s="4"/>
      <c r="N17" s="4"/>
      <c r="O17" s="4"/>
      <c r="P17" s="4"/>
      <c r="Q17" s="4"/>
    </row>
    <row r="18" spans="1:17" ht="48" x14ac:dyDescent="0.2">
      <c r="A18" s="6" t="s">
        <v>52</v>
      </c>
      <c r="B18" s="7" t="s">
        <v>53</v>
      </c>
      <c r="C18" s="33" t="str">
        <f>IF(C9&gt;=0, "Normal", "Risk")</f>
        <v>Normal</v>
      </c>
      <c r="D18" s="33" t="str">
        <f>IF(D9&gt;=0, "Normal", "Risk")</f>
        <v>Normal</v>
      </c>
      <c r="E18" s="33" t="str">
        <f>IF(E9&gt;=0, "Normal", "Risk")</f>
        <v>Normal</v>
      </c>
      <c r="F18" s="33" t="str">
        <f>IF(F9&gt;=0, "Normal", "Risk")</f>
        <v>Risk</v>
      </c>
      <c r="G18" s="33" t="str">
        <f t="shared" ref="G18:H18" si="16">IF(G9&gt;=0, "Normal", "Risk")</f>
        <v>Risk</v>
      </c>
      <c r="H18" s="33" t="str">
        <f t="shared" si="16"/>
        <v>Normal</v>
      </c>
      <c r="I18" s="33" t="str">
        <f t="shared" ref="I18" si="17">IF(I9&gt;=0, "Normal", "Risk")</f>
        <v>Normal</v>
      </c>
      <c r="M18" s="4"/>
      <c r="N18" s="4"/>
      <c r="O18" s="4"/>
      <c r="P18" s="4"/>
      <c r="Q18" s="4"/>
    </row>
    <row r="19" spans="1:17" ht="48" x14ac:dyDescent="0.2">
      <c r="A19" s="6" t="s">
        <v>54</v>
      </c>
      <c r="B19" s="7" t="s">
        <v>55</v>
      </c>
      <c r="C19" s="33" t="str">
        <f>IF(C16&gt;1, "Normal", "Risk")</f>
        <v>Risk</v>
      </c>
      <c r="D19" s="33" t="str">
        <f>IF(D16&gt;1, "Normal", "Risk")</f>
        <v>Risk</v>
      </c>
      <c r="E19" s="33" t="str">
        <f>IF(E16&gt;1, "Normal", "Risk")</f>
        <v>Risk</v>
      </c>
      <c r="F19" s="33" t="str">
        <f>IF(F16&gt;1, "Normal", "Risk")</f>
        <v>Normal</v>
      </c>
      <c r="G19" s="33" t="str">
        <f t="shared" ref="G19:H19" si="18">IF(G16&gt;1, "Normal", "Risk")</f>
        <v>Risk</v>
      </c>
      <c r="H19" s="33" t="str">
        <f t="shared" si="18"/>
        <v>Risk</v>
      </c>
      <c r="I19" s="33" t="str">
        <f t="shared" ref="I19" si="19">IF(I16&gt;1, "Normal", "Risk")</f>
        <v>Risk</v>
      </c>
      <c r="M19" s="4"/>
      <c r="N19" s="4"/>
      <c r="O19" s="4"/>
      <c r="P19" s="4"/>
      <c r="Q19" s="4"/>
    </row>
    <row r="20" spans="1:17" x14ac:dyDescent="0.2">
      <c r="A20" s="34"/>
      <c r="B20" s="6" t="s">
        <v>56</v>
      </c>
      <c r="C20" s="35">
        <f>IF(AND(C17="Normal",C18="Normal",C19="Normal"),1,IF(AND(C17="Normal",C18="Normal",C19="Risk"),2,IF(AND(C17="Normal",C18="Risk",C19="Normal"),3,IF(AND(C17="Normal",C18="Risk",C19="Risk"),4,IF(AND(C17="Risk",C18="Normal",C19="Normal"),5,IF(AND(C17="Risk",C18="Normal",C19="Risk"),6,IF(AND(C17="Risk",C18="Risk",C19="Normal"),7,IF(AND(C17="Risk",C18="Risk",C19="Risk"),8,"Unknows"))))))))</f>
        <v>2</v>
      </c>
      <c r="D20" s="35">
        <f>IF(AND(D17="Normal",D18="Normal",D19="Normal"),1,IF(AND(D17="Normal",D18="Normal",D19="Risk"),2,IF(AND(D17="Normal",D18="Risk",D19="Normal"),3,IF(AND(D17="Normal",D18="Risk",D19="Risk"),4,IF(AND(D17="Risk",D18="Normal",D19="Normal"),5,IF(AND(D17="Risk",D18="Normal",D19="Risk"),6,IF(AND(D17="Risk",D18="Risk",D19="Normal"),7,IF(AND(D17="Risk",D18="Risk",D19="Risk"),8,"Unknows"))))))))</f>
        <v>2</v>
      </c>
      <c r="E20" s="35">
        <f>IF(AND(E17="Normal",E18="Normal",E19="Normal"),1,IF(AND(E17="Normal",E18="Normal",E19="Risk"),2,IF(AND(E17="Normal",E18="Risk",E19="Normal"),3,IF(AND(E17="Normal",E18="Risk",E19="Risk"),4,IF(AND(E17="Risk",E18="Normal",E19="Normal"),5,IF(AND(E17="Risk",E18="Normal",E19="Risk"),6,IF(AND(E17="Risk",E18="Risk",E19="Normal"),7,IF(AND(E17="Risk",E18="Risk",E19="Risk"),8,"Unknows"))))))))</f>
        <v>2</v>
      </c>
      <c r="F20" s="35">
        <f>IF(AND(F17="Normal",F18="Normal",F19="Normal"),1,IF(AND(F17="Normal",F18="Normal",F19="Risk"),2,IF(AND(F17="Normal",F18="Risk",F19="Normal"),3,IF(AND(F17="Normal",F18="Risk",F19="Risk"),4,IF(AND(F17="Risk",F18="Normal",F19="Normal"),5,IF(AND(F17="Risk",F18="Normal",F19="Risk"),6,IF(AND(F17="Risk",F18="Risk",F19="Normal"),7,IF(AND(F17="Risk",F18="Risk",F19="Risk"),8,"Unknows"))))))))</f>
        <v>3</v>
      </c>
      <c r="G20" s="35">
        <f t="shared" ref="G20:I20" si="20">IF(AND(G17="Normal",G18="Normal",G19="Normal"),1,IF(AND(G17="Normal",G18="Normal",G19="Risk"),2,IF(AND(G17="Normal",G18="Risk",G19="Normal"),3,IF(AND(G17="Normal",G18="Risk",G19="Risk"),4,IF(AND(G17="Risk",G18="Normal",G19="Normal"),5,IF(AND(G17="Risk",G18="Normal",G19="Risk"),6,IF(AND(G17="Risk",G18="Risk",G19="Normal"),7,IF(AND(G17="Risk",G18="Risk",G19="Risk"),8,"Unknows"))))))))</f>
        <v>4</v>
      </c>
      <c r="H20" s="35">
        <f t="shared" si="20"/>
        <v>2</v>
      </c>
      <c r="I20" s="35">
        <f t="shared" si="20"/>
        <v>2</v>
      </c>
      <c r="M20" s="4"/>
      <c r="N20" s="4"/>
      <c r="O20" s="4"/>
      <c r="P20" s="4"/>
      <c r="Q20" s="4"/>
    </row>
    <row r="21" spans="1:17" ht="120" x14ac:dyDescent="0.2">
      <c r="A21" s="36"/>
      <c r="B21" s="37" t="s">
        <v>57</v>
      </c>
      <c r="C21" s="38" t="str">
        <f t="shared" ref="C21:I21" si="21">VLOOKUP(C20,$M$4:$Q$12,5,0)</f>
        <v xml:space="preserve">ทบทวนการลงทุนอีกครั้ง </v>
      </c>
      <c r="D21" s="38" t="str">
        <f t="shared" si="21"/>
        <v xml:space="preserve">ทบทวนการลงทุนอีกครั้ง </v>
      </c>
      <c r="E21" s="38" t="str">
        <f t="shared" si="21"/>
        <v xml:space="preserve">ทบทวนการลงทุนอีกครั้ง </v>
      </c>
      <c r="F21" s="38" t="str">
        <f t="shared" si="21"/>
        <v>ทบทวนการลงทุนอีกครั้ง ทำFeasibility study</v>
      </c>
      <c r="G21" s="38" t="str">
        <f t="shared" si="21"/>
        <v xml:space="preserve"> ปรับลดการลงทุนให้ &lt; 20% EBITDA เพื่อเงินเหลือจาก EBITDA – ลงทุนจะไปเพิ่ม NWC  ทำ Feasibility study</v>
      </c>
      <c r="H21" s="38" t="str">
        <f t="shared" si="21"/>
        <v xml:space="preserve">ทบทวนการลงทุนอีกครั้ง </v>
      </c>
      <c r="I21" s="38" t="str">
        <f t="shared" si="21"/>
        <v xml:space="preserve">ทบทวนการลงทุนอีกครั้ง </v>
      </c>
      <c r="M21" s="4"/>
      <c r="N21" s="4"/>
      <c r="O21" s="4"/>
      <c r="P21" s="4"/>
      <c r="Q21" s="4"/>
    </row>
  </sheetData>
  <mergeCells count="2">
    <mergeCell ref="Q2:Q3"/>
    <mergeCell ref="A9:A10"/>
  </mergeCells>
  <conditionalFormatting sqref="D22:D1048576">
    <cfRule type="containsText" dxfId="29" priority="20" operator="containsText" text="เกินดุล">
      <formula>NOT(ISERROR(SEARCH("เกินดุล",D22)))</formula>
    </cfRule>
    <cfRule type="containsText" dxfId="28" priority="21" operator="containsText" text="สมดุล">
      <formula>NOT(ISERROR(SEARCH("สมดุล",D22)))</formula>
    </cfRule>
    <cfRule type="containsText" dxfId="27" priority="22" operator="containsText" text="ขาดดุล">
      <formula>NOT(ISERROR(SEARCH("ขาดดุล",D22)))</formula>
    </cfRule>
    <cfRule type="containsText" dxfId="26" priority="23" operator="containsText" text="สมดุล">
      <formula>NOT(ISERROR(SEARCH("สมดุล",D22)))</formula>
    </cfRule>
  </conditionalFormatting>
  <conditionalFormatting sqref="A5:H5">
    <cfRule type="containsText" dxfId="25" priority="16" operator="containsText" text="เกินดุล">
      <formula>NOT(ISERROR(SEARCH("เกินดุล",A5)))</formula>
    </cfRule>
    <cfRule type="containsText" dxfId="24" priority="17" operator="containsText" text="สมดุล">
      <formula>NOT(ISERROR(SEARCH("สมดุล",A5)))</formula>
    </cfRule>
    <cfRule type="containsText" dxfId="23" priority="18" operator="containsText" text="ขาดดุล">
      <formula>NOT(ISERROR(SEARCH("ขาดดุล",A5)))</formula>
    </cfRule>
    <cfRule type="containsText" dxfId="22" priority="19" operator="containsText" text="สมดุล">
      <formula>NOT(ISERROR(SEARCH("สมดุล",A5)))</formula>
    </cfRule>
  </conditionalFormatting>
  <conditionalFormatting sqref="C9:H9">
    <cfRule type="cellIs" dxfId="21" priority="15" operator="lessThan">
      <formula>0</formula>
    </cfRule>
  </conditionalFormatting>
  <conditionalFormatting sqref="C20:H20">
    <cfRule type="cellIs" dxfId="20" priority="24" operator="equal">
      <formula>8</formula>
    </cfRule>
    <cfRule type="cellIs" dxfId="19" priority="25" operator="equal">
      <formula>7</formula>
    </cfRule>
    <cfRule type="cellIs" dxfId="18" priority="26" operator="equal">
      <formula>6</formula>
    </cfRule>
    <cfRule type="cellIs" dxfId="17" priority="27" operator="equal">
      <formula>5</formula>
    </cfRule>
    <cfRule type="cellIs" dxfId="16" priority="28" operator="equal">
      <formula>4</formula>
    </cfRule>
    <cfRule type="cellIs" dxfId="15" priority="29" operator="equal">
      <formula>3</formula>
    </cfRule>
    <cfRule type="cellIs" dxfId="14" priority="30" operator="equal">
      <formula>2</formula>
    </cfRule>
    <cfRule type="cellIs" dxfId="13" priority="31" operator="equal">
      <formula>1</formula>
    </cfRule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">
    <cfRule type="containsText" dxfId="12" priority="2" operator="containsText" text="เกินดุล">
      <formula>NOT(ISERROR(SEARCH("เกินดุล",I5)))</formula>
    </cfRule>
    <cfRule type="containsText" dxfId="11" priority="3" operator="containsText" text="สมดุล">
      <formula>NOT(ISERROR(SEARCH("สมดุล",I5)))</formula>
    </cfRule>
    <cfRule type="containsText" dxfId="10" priority="4" operator="containsText" text="ขาดดุล">
      <formula>NOT(ISERROR(SEARCH("ขาดดุล",I5)))</formula>
    </cfRule>
    <cfRule type="containsText" dxfId="9" priority="5" operator="containsText" text="สมดุล">
      <formula>NOT(ISERROR(SEARCH("สมดุล",I5)))</formula>
    </cfRule>
  </conditionalFormatting>
  <conditionalFormatting sqref="I9">
    <cfRule type="cellIs" dxfId="8" priority="1" operator="lessThan">
      <formula>0</formula>
    </cfRule>
  </conditionalFormatting>
  <conditionalFormatting sqref="I20">
    <cfRule type="cellIs" dxfId="7" priority="6" operator="equal">
      <formula>8</formula>
    </cfRule>
    <cfRule type="cellIs" dxfId="6" priority="7" operator="equal">
      <formula>7</formula>
    </cfRule>
    <cfRule type="cellIs" dxfId="5" priority="8" operator="equal">
      <formula>6</formula>
    </cfRule>
    <cfRule type="cellIs" dxfId="4" priority="9" operator="equal">
      <formula>5</formula>
    </cfRule>
    <cfRule type="cellIs" dxfId="3" priority="10" operator="equal">
      <formula>4</formula>
    </cfRule>
    <cfRule type="cellIs" dxfId="2" priority="11" operator="equal">
      <formula>3</formula>
    </cfRule>
    <cfRule type="cellIs" dxfId="1" priority="12" operator="equal">
      <formula>2</formula>
    </cfRule>
    <cfRule type="cellIs" dxfId="0" priority="13" operator="equal">
      <formula>1</formula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นครนายก</vt:lpstr>
      <vt:lpstr>นนทบุรี</vt:lpstr>
      <vt:lpstr>ปทุมธานี</vt:lpstr>
      <vt:lpstr>อยุธยา</vt:lpstr>
      <vt:lpstr>ลพบุรี</vt:lpstr>
      <vt:lpstr>สระบุรี</vt:lpstr>
      <vt:lpstr>สิงห์บุรี</vt:lpstr>
      <vt:lpstr>อ่างทอง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2020-05-05T03:12:10Z</dcterms:created>
  <dcterms:modified xsi:type="dcterms:W3CDTF">2020-05-14T03:04:57Z</dcterms:modified>
</cp:coreProperties>
</file>