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660" yWindow="30" windowWidth="15615" windowHeight="11100"/>
  </bookViews>
  <sheets>
    <sheet name="สรุปรวม" sheetId="1" r:id="rId1"/>
    <sheet name="นครนายก" sheetId="6" r:id="rId2"/>
    <sheet name="นนทบุรี" sheetId="2" r:id="rId3"/>
    <sheet name="ปทุมธานี" sheetId="4" r:id="rId4"/>
    <sheet name="อยุธยา" sheetId="8" r:id="rId5"/>
    <sheet name="ลพบุรี" sheetId="3" r:id="rId6"/>
    <sheet name="สระบุรี" sheetId="7" r:id="rId7"/>
    <sheet name="สิงห์บุรี" sheetId="5" r:id="rId8"/>
    <sheet name="อ่างทอง" sheetId="10" r:id="rId9"/>
  </sheets>
  <externalReferences>
    <externalReference r:id="rId10"/>
    <externalReference r:id="rId11"/>
  </externalReferences>
  <definedNames>
    <definedName name="_xlnm.Print_Titles" localSheetId="6">สระบุรี!$1:$5</definedName>
    <definedName name="_xlnm.Print_Titles" localSheetId="4">อยุธยา!$1:$5</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1" i="8" l="1"/>
  <c r="C11" i="8"/>
  <c r="B11" i="8"/>
  <c r="B12" i="8"/>
  <c r="D11" i="8"/>
  <c r="C12" i="8"/>
  <c r="K6" i="6"/>
  <c r="C6" i="6"/>
  <c r="B6" i="6"/>
  <c r="B7" i="6"/>
  <c r="K7" i="8" l="1"/>
  <c r="K8" i="8"/>
  <c r="K9" i="8"/>
  <c r="K10" i="8"/>
  <c r="K13" i="8"/>
  <c r="K14" i="8"/>
  <c r="K15" i="8"/>
  <c r="K16" i="8"/>
  <c r="K17" i="8"/>
  <c r="K18" i="8"/>
  <c r="K19" i="8"/>
  <c r="K20" i="8"/>
  <c r="K21" i="8"/>
  <c r="K6" i="8"/>
  <c r="K6" i="3"/>
  <c r="G6" i="8"/>
  <c r="H6" i="8"/>
  <c r="C21" i="8"/>
  <c r="C20" i="8"/>
  <c r="C19" i="8"/>
  <c r="C18" i="8"/>
  <c r="C17" i="8"/>
  <c r="C16" i="8"/>
  <c r="C15" i="8"/>
  <c r="C14" i="8"/>
  <c r="C13" i="8"/>
  <c r="C10" i="8"/>
  <c r="C9" i="8"/>
  <c r="C8" i="8"/>
  <c r="C7" i="8"/>
  <c r="C6" i="8"/>
  <c r="D6" i="8"/>
  <c r="E6" i="8" s="1"/>
  <c r="B21" i="8"/>
  <c r="B20" i="8"/>
  <c r="B19" i="8"/>
  <c r="B18" i="8"/>
  <c r="B17" i="8"/>
  <c r="B16" i="8"/>
  <c r="B15" i="8"/>
  <c r="B14" i="8"/>
  <c r="B13" i="8"/>
  <c r="B10" i="8"/>
  <c r="B9" i="8"/>
  <c r="B8" i="8"/>
  <c r="B7" i="8"/>
  <c r="B6" i="8"/>
  <c r="K7" i="2"/>
  <c r="K8" i="2"/>
  <c r="K9" i="2"/>
  <c r="K10" i="2"/>
  <c r="K12" i="2"/>
  <c r="K6" i="2"/>
  <c r="K6" i="4"/>
  <c r="F11" i="2"/>
  <c r="G6" i="2"/>
  <c r="H6" i="2"/>
  <c r="C12" i="2"/>
  <c r="C11" i="2"/>
  <c r="C10" i="2"/>
  <c r="C9" i="2"/>
  <c r="C8" i="2"/>
  <c r="C7" i="2"/>
  <c r="C6" i="2"/>
  <c r="D6" i="2"/>
  <c r="E6" i="2" s="1"/>
  <c r="B12" i="2"/>
  <c r="B11" i="2"/>
  <c r="B10" i="2"/>
  <c r="B9" i="2"/>
  <c r="B8" i="2"/>
  <c r="B7" i="2"/>
  <c r="B6" i="2"/>
  <c r="K6" i="5" l="1"/>
  <c r="C8" i="7" l="1"/>
  <c r="B8" i="7"/>
  <c r="B9" i="7"/>
  <c r="G7" i="7" l="1"/>
  <c r="G10" i="7"/>
  <c r="G15" i="7"/>
  <c r="G16" i="7"/>
  <c r="K7" i="7"/>
  <c r="K10" i="7"/>
  <c r="K12" i="7"/>
  <c r="K15" i="7"/>
  <c r="K16" i="7"/>
  <c r="F17" i="7"/>
  <c r="G17" i="7" s="1"/>
  <c r="K17" i="7" s="1"/>
  <c r="F14" i="7"/>
  <c r="G14" i="7" s="1"/>
  <c r="K14" i="7" s="1"/>
  <c r="F13" i="7"/>
  <c r="G13" i="7" s="1"/>
  <c r="K13" i="7" s="1"/>
  <c r="F12" i="7"/>
  <c r="F11" i="7"/>
  <c r="G11" i="7" s="1"/>
  <c r="K11" i="7" s="1"/>
  <c r="F9" i="7"/>
  <c r="F8" i="7"/>
  <c r="F6" i="7"/>
  <c r="G6" i="7" s="1"/>
  <c r="K6" i="7" s="1"/>
  <c r="H6" i="7"/>
  <c r="C17" i="7"/>
  <c r="C16" i="7"/>
  <c r="C15" i="7"/>
  <c r="C14" i="7"/>
  <c r="C13" i="7"/>
  <c r="C12" i="7"/>
  <c r="C11" i="7"/>
  <c r="C10" i="7"/>
  <c r="C9" i="7"/>
  <c r="C7" i="7"/>
  <c r="C6" i="7"/>
  <c r="D6" i="7"/>
  <c r="E6" i="7" s="1"/>
  <c r="B17" i="7"/>
  <c r="B16" i="7"/>
  <c r="B15" i="7"/>
  <c r="B14" i="7"/>
  <c r="B13" i="7"/>
  <c r="B12" i="7"/>
  <c r="B11" i="7"/>
  <c r="B10" i="7"/>
  <c r="B7" i="7"/>
  <c r="B6" i="7"/>
  <c r="K13" i="1" l="1"/>
  <c r="I13" i="1"/>
  <c r="K7" i="3" l="1"/>
  <c r="K8" i="3"/>
  <c r="K9" i="3"/>
  <c r="K10" i="3"/>
  <c r="K12" i="3"/>
  <c r="K13" i="3"/>
  <c r="K14" i="3"/>
  <c r="K15" i="3"/>
  <c r="K16" i="3"/>
  <c r="F11" i="3"/>
  <c r="G6" i="3"/>
  <c r="H6" i="3"/>
  <c r="C16" i="3"/>
  <c r="C15" i="3"/>
  <c r="C14" i="3"/>
  <c r="C13" i="3"/>
  <c r="C12" i="3"/>
  <c r="C11" i="3"/>
  <c r="C10" i="3"/>
  <c r="C9" i="3"/>
  <c r="C8" i="3"/>
  <c r="C7" i="3"/>
  <c r="C6" i="3"/>
  <c r="D6" i="3"/>
  <c r="E6" i="3" s="1"/>
  <c r="B6" i="3"/>
  <c r="B16" i="3"/>
  <c r="B15" i="3"/>
  <c r="B14" i="3"/>
  <c r="B13" i="3"/>
  <c r="B12" i="3"/>
  <c r="B11" i="3"/>
  <c r="B10" i="3"/>
  <c r="B9" i="3"/>
  <c r="B8" i="3"/>
  <c r="B7" i="3"/>
  <c r="K7" i="5" l="1"/>
  <c r="K8" i="5"/>
  <c r="K9" i="5"/>
  <c r="K11" i="5"/>
  <c r="F10" i="5"/>
  <c r="F7" i="5"/>
  <c r="G6" i="5"/>
  <c r="H6" i="5"/>
  <c r="C11" i="5"/>
  <c r="C10" i="5"/>
  <c r="C9" i="5"/>
  <c r="C8" i="5"/>
  <c r="C7" i="5"/>
  <c r="C6" i="5"/>
  <c r="D6" i="5"/>
  <c r="E6" i="5" s="1"/>
  <c r="B11" i="5"/>
  <c r="B10" i="5"/>
  <c r="B9" i="5"/>
  <c r="B8" i="5"/>
  <c r="B7" i="5"/>
  <c r="B6" i="5"/>
  <c r="F11" i="4"/>
  <c r="F9" i="4"/>
  <c r="F7" i="4"/>
  <c r="G7" i="4" s="1"/>
  <c r="K7" i="4" s="1"/>
  <c r="H7" i="4"/>
  <c r="C13" i="4"/>
  <c r="C12" i="4"/>
  <c r="C11" i="4"/>
  <c r="C10" i="4"/>
  <c r="C9" i="4"/>
  <c r="C8" i="4"/>
  <c r="C7" i="4"/>
  <c r="D7" i="4"/>
  <c r="E7" i="4" s="1"/>
  <c r="B13" i="4"/>
  <c r="B12" i="4"/>
  <c r="B11" i="4"/>
  <c r="B10" i="4"/>
  <c r="B9" i="4"/>
  <c r="B8" i="4"/>
  <c r="B7" i="4"/>
  <c r="C6" i="4"/>
  <c r="B6" i="4"/>
  <c r="D12" i="4" l="1"/>
  <c r="E12" i="4" s="1"/>
  <c r="D13" i="4"/>
  <c r="D10" i="4"/>
  <c r="E10" i="4" s="1"/>
  <c r="D11" i="4"/>
  <c r="C9" i="6"/>
  <c r="B9" i="6"/>
  <c r="B10" i="6"/>
  <c r="C8" i="6"/>
  <c r="B8" i="6"/>
  <c r="C7" i="6"/>
  <c r="B14" i="4" l="1"/>
  <c r="C5" i="1" l="1"/>
  <c r="D8" i="7"/>
  <c r="D7" i="7"/>
  <c r="E7" i="7" s="1"/>
  <c r="B18" i="7"/>
  <c r="C10" i="1" s="1"/>
  <c r="B17" i="3"/>
  <c r="C9" i="1" s="1"/>
  <c r="C7" i="1" l="1"/>
  <c r="H8" i="7" l="1"/>
  <c r="D10" i="5" l="1"/>
  <c r="E10" i="5" s="1"/>
  <c r="G10" i="5" s="1"/>
  <c r="K10" i="5" s="1"/>
  <c r="D9" i="5"/>
  <c r="D7" i="5"/>
  <c r="E7" i="5" s="1"/>
  <c r="D8" i="5"/>
  <c r="E8" i="5" s="1"/>
  <c r="G8" i="5" s="1"/>
  <c r="D11" i="5"/>
  <c r="E11" i="5" s="1"/>
  <c r="G11" i="5" s="1"/>
  <c r="B12" i="5"/>
  <c r="C11" i="1" s="1"/>
  <c r="H7" i="5" l="1"/>
  <c r="H11" i="5"/>
  <c r="H10" i="5"/>
  <c r="E9" i="5"/>
  <c r="G9" i="5" s="1"/>
  <c r="H9" i="5"/>
  <c r="H8" i="5"/>
  <c r="D7" i="6" l="1"/>
  <c r="H7" i="6" s="1"/>
  <c r="D8" i="6"/>
  <c r="D9" i="6"/>
  <c r="D7" i="2"/>
  <c r="D8" i="2"/>
  <c r="D9" i="2"/>
  <c r="D10" i="2"/>
  <c r="D11" i="2"/>
  <c r="D12" i="2"/>
  <c r="D8" i="4"/>
  <c r="D9" i="4"/>
  <c r="D7" i="8"/>
  <c r="D8" i="8"/>
  <c r="D9" i="8"/>
  <c r="D10" i="8"/>
  <c r="D12" i="8"/>
  <c r="D13" i="8"/>
  <c r="D14" i="8"/>
  <c r="D15" i="8"/>
  <c r="D16" i="8"/>
  <c r="D17" i="8"/>
  <c r="D18" i="8"/>
  <c r="D19" i="8"/>
  <c r="D20" i="8"/>
  <c r="D21" i="8"/>
  <c r="D7" i="3"/>
  <c r="D8" i="3"/>
  <c r="D9" i="3"/>
  <c r="D10" i="3"/>
  <c r="D11" i="3"/>
  <c r="D12" i="3"/>
  <c r="D13" i="3"/>
  <c r="D14" i="3"/>
  <c r="D15" i="3"/>
  <c r="D16" i="3"/>
  <c r="E8" i="7"/>
  <c r="G8" i="7" s="1"/>
  <c r="K8" i="7" s="1"/>
  <c r="D9" i="7"/>
  <c r="D10" i="7"/>
  <c r="D11" i="7"/>
  <c r="D12" i="7"/>
  <c r="D13" i="7"/>
  <c r="D14" i="7"/>
  <c r="D15" i="7"/>
  <c r="D16" i="7"/>
  <c r="D17" i="7"/>
  <c r="E10" i="8" l="1"/>
  <c r="H10" i="8"/>
  <c r="E7" i="2"/>
  <c r="H7" i="2"/>
  <c r="E21" i="8"/>
  <c r="H21" i="8"/>
  <c r="E17" i="8"/>
  <c r="H17" i="8"/>
  <c r="E13" i="8"/>
  <c r="H13" i="8"/>
  <c r="E9" i="8"/>
  <c r="H9" i="8"/>
  <c r="E10" i="2"/>
  <c r="G10" i="2" s="1"/>
  <c r="H10" i="2"/>
  <c r="E14" i="8"/>
  <c r="H14" i="8"/>
  <c r="E20" i="8"/>
  <c r="H20" i="8"/>
  <c r="E16" i="8"/>
  <c r="H16" i="8"/>
  <c r="E12" i="8"/>
  <c r="H12" i="8"/>
  <c r="E8" i="8"/>
  <c r="H8" i="8"/>
  <c r="E9" i="2"/>
  <c r="G9" i="2" s="1"/>
  <c r="H9" i="2"/>
  <c r="E18" i="8"/>
  <c r="H18" i="8"/>
  <c r="E11" i="2"/>
  <c r="G11" i="2" s="1"/>
  <c r="K11" i="2" s="1"/>
  <c r="H11" i="2"/>
  <c r="E19" i="8"/>
  <c r="H19" i="8"/>
  <c r="E15" i="8"/>
  <c r="H15" i="8"/>
  <c r="E11" i="8"/>
  <c r="H11" i="8"/>
  <c r="E7" i="8"/>
  <c r="H7" i="8"/>
  <c r="E12" i="2"/>
  <c r="G12" i="2" s="1"/>
  <c r="H12" i="2"/>
  <c r="E8" i="2"/>
  <c r="G8" i="2" s="1"/>
  <c r="H8" i="2"/>
  <c r="E9" i="6"/>
  <c r="G9" i="6" s="1"/>
  <c r="K9" i="6" s="1"/>
  <c r="H9" i="6"/>
  <c r="E8" i="6"/>
  <c r="G8" i="6" s="1"/>
  <c r="K8" i="6" s="1"/>
  <c r="H8" i="6"/>
  <c r="E7" i="6"/>
  <c r="G7" i="6" s="1"/>
  <c r="K7" i="6" s="1"/>
  <c r="E17" i="7"/>
  <c r="H17" i="7"/>
  <c r="E16" i="7"/>
  <c r="H16" i="7"/>
  <c r="E15" i="7"/>
  <c r="H15" i="7"/>
  <c r="E13" i="7"/>
  <c r="H13" i="7"/>
  <c r="E12" i="7"/>
  <c r="H12" i="7"/>
  <c r="E11" i="7"/>
  <c r="H11" i="7"/>
  <c r="E10" i="7"/>
  <c r="H10" i="7"/>
  <c r="E9" i="7"/>
  <c r="G9" i="7" s="1"/>
  <c r="K9" i="7" s="1"/>
  <c r="H9" i="7"/>
  <c r="H7" i="7"/>
  <c r="E14" i="7"/>
  <c r="H14" i="7"/>
  <c r="E13" i="4"/>
  <c r="G13" i="4" s="1"/>
  <c r="K13" i="4" s="1"/>
  <c r="H13" i="4"/>
  <c r="G12" i="4"/>
  <c r="K12" i="4" s="1"/>
  <c r="H12" i="4"/>
  <c r="E11" i="4"/>
  <c r="G11" i="4" s="1"/>
  <c r="K11" i="4" s="1"/>
  <c r="H11" i="4"/>
  <c r="G10" i="4"/>
  <c r="K10" i="4" s="1"/>
  <c r="H10" i="4"/>
  <c r="E9" i="4"/>
  <c r="G9" i="4" s="1"/>
  <c r="K9" i="4" s="1"/>
  <c r="H9" i="4"/>
  <c r="G8" i="4"/>
  <c r="K8" i="4" s="1"/>
  <c r="H8" i="4"/>
  <c r="E16" i="3"/>
  <c r="G16" i="3" s="1"/>
  <c r="H16" i="3"/>
  <c r="E14" i="3"/>
  <c r="G14" i="3" s="1"/>
  <c r="H14" i="3"/>
  <c r="E12" i="3"/>
  <c r="G12" i="3" s="1"/>
  <c r="H12" i="3"/>
  <c r="E10" i="3"/>
  <c r="G10" i="3" s="1"/>
  <c r="H10" i="3"/>
  <c r="E8" i="3"/>
  <c r="G8" i="3" s="1"/>
  <c r="H8" i="3"/>
  <c r="E15" i="3"/>
  <c r="G15" i="3" s="1"/>
  <c r="H15" i="3"/>
  <c r="E13" i="3"/>
  <c r="G13" i="3" s="1"/>
  <c r="H13" i="3"/>
  <c r="E11" i="3"/>
  <c r="K11" i="3" s="1"/>
  <c r="H11" i="3"/>
  <c r="E9" i="3"/>
  <c r="G9" i="3" s="1"/>
  <c r="H9" i="3"/>
  <c r="E7" i="3"/>
  <c r="G7" i="3" s="1"/>
  <c r="H7" i="3"/>
  <c r="F18" i="7"/>
  <c r="G10" i="1" s="1"/>
  <c r="C18" i="7"/>
  <c r="D10" i="1" s="1"/>
  <c r="C22" i="8"/>
  <c r="D8" i="1" s="1"/>
  <c r="B22" i="8"/>
  <c r="C8" i="1" s="1"/>
  <c r="D18" i="7" l="1"/>
  <c r="E10" i="1" s="1"/>
  <c r="D22" i="8"/>
  <c r="E8" i="1" s="1"/>
  <c r="E18" i="7" l="1"/>
  <c r="F10" i="1" s="1"/>
  <c r="E22" i="8"/>
  <c r="F8" i="1" s="1"/>
  <c r="G18" i="7" l="1"/>
  <c r="H10" i="1" s="1"/>
  <c r="F10" i="6" l="1"/>
  <c r="G5" i="1" s="1"/>
  <c r="C10" i="6"/>
  <c r="D5" i="1" s="1"/>
  <c r="D6" i="6"/>
  <c r="H6" i="6" s="1"/>
  <c r="E6" i="6" l="1"/>
  <c r="G6" i="6" s="1"/>
  <c r="D10" i="6"/>
  <c r="E5" i="1" s="1"/>
  <c r="F12" i="5"/>
  <c r="G11" i="1" s="1"/>
  <c r="C12" i="5"/>
  <c r="D11" i="1" s="1"/>
  <c r="F14" i="4"/>
  <c r="G7" i="1" s="1"/>
  <c r="C14" i="4"/>
  <c r="D7" i="1" s="1"/>
  <c r="D6" i="4"/>
  <c r="E6" i="4" l="1"/>
  <c r="H6" i="4"/>
  <c r="D12" i="5"/>
  <c r="E11" i="1" s="1"/>
  <c r="D14" i="4"/>
  <c r="E7" i="1" s="1"/>
  <c r="E10" i="6"/>
  <c r="F5" i="1" s="1"/>
  <c r="G6" i="4"/>
  <c r="F17" i="3"/>
  <c r="G9" i="1" s="1"/>
  <c r="C17" i="3"/>
  <c r="D9" i="1" s="1"/>
  <c r="F13" i="2"/>
  <c r="G6" i="1" s="1"/>
  <c r="C13" i="2"/>
  <c r="D6" i="1" s="1"/>
  <c r="B13" i="2"/>
  <c r="C6" i="1" s="1"/>
  <c r="E12" i="5" l="1"/>
  <c r="F11" i="1" s="1"/>
  <c r="E14" i="4"/>
  <c r="F7" i="1" s="1"/>
  <c r="D13" i="2"/>
  <c r="E6" i="1" s="1"/>
  <c r="G10" i="6"/>
  <c r="H5" i="1" s="1"/>
  <c r="D17" i="3"/>
  <c r="E9" i="1" s="1"/>
  <c r="G12" i="5" l="1"/>
  <c r="H11" i="1" s="1"/>
  <c r="G14" i="4"/>
  <c r="H7" i="1" s="1"/>
  <c r="E13" i="2"/>
  <c r="F6" i="1" s="1"/>
  <c r="E17" i="3"/>
  <c r="F9" i="1" s="1"/>
  <c r="G13" i="2" l="1"/>
  <c r="H6" i="1" s="1"/>
  <c r="G17" i="3"/>
  <c r="H9" i="1" s="1"/>
  <c r="B13" i="1"/>
  <c r="C6" i="10" l="1"/>
  <c r="B6" i="10"/>
  <c r="D6" i="10" l="1"/>
  <c r="E6" i="10" l="1"/>
  <c r="H6" i="10"/>
  <c r="F12" i="10" l="1"/>
  <c r="C12" i="10"/>
  <c r="B12" i="10"/>
  <c r="F10" i="10"/>
  <c r="F9" i="10"/>
  <c r="F8" i="10"/>
  <c r="F7" i="10"/>
  <c r="C11" i="10"/>
  <c r="C10" i="10"/>
  <c r="C9" i="10"/>
  <c r="C8" i="10"/>
  <c r="C7" i="10"/>
  <c r="B11" i="10"/>
  <c r="B10" i="10"/>
  <c r="B9" i="10"/>
  <c r="B8" i="10"/>
  <c r="B7" i="10"/>
  <c r="G21" i="8"/>
  <c r="G20" i="8"/>
  <c r="G19" i="8"/>
  <c r="G18" i="8"/>
  <c r="G17" i="8"/>
  <c r="G16" i="8"/>
  <c r="G15" i="8"/>
  <c r="G14" i="8"/>
  <c r="G13" i="8"/>
  <c r="G12" i="8"/>
  <c r="K12" i="8" s="1"/>
  <c r="G11" i="8"/>
  <c r="G10" i="8"/>
  <c r="G9" i="8"/>
  <c r="G8" i="8"/>
  <c r="G7" i="8"/>
  <c r="D12" i="10" l="1"/>
  <c r="D11" i="10"/>
  <c r="E11" i="10" s="1"/>
  <c r="D10" i="10"/>
  <c r="D9" i="10"/>
  <c r="E9" i="10" s="1"/>
  <c r="G9" i="10" s="1"/>
  <c r="K9" i="10" s="1"/>
  <c r="D8" i="10"/>
  <c r="C13" i="10"/>
  <c r="D12" i="1" s="1"/>
  <c r="D13" i="1" s="1"/>
  <c r="H8" i="10"/>
  <c r="E8" i="10"/>
  <c r="G8" i="10" s="1"/>
  <c r="K8" i="10" s="1"/>
  <c r="E10" i="10"/>
  <c r="G10" i="10" s="1"/>
  <c r="K10" i="10" s="1"/>
  <c r="H10" i="10"/>
  <c r="F22" i="8"/>
  <c r="D7" i="10"/>
  <c r="B13" i="10"/>
  <c r="H9" i="10"/>
  <c r="H11" i="10"/>
  <c r="H12" i="10"/>
  <c r="E12" i="10"/>
  <c r="G12" i="10" s="1"/>
  <c r="K12" i="10" s="1"/>
  <c r="C12" i="1" l="1"/>
  <c r="C13" i="1" s="1"/>
  <c r="D13" i="10"/>
  <c r="E7" i="10"/>
  <c r="G7" i="10" s="1"/>
  <c r="K7" i="10" s="1"/>
  <c r="H7" i="10"/>
  <c r="G22" i="8"/>
  <c r="H8" i="1" s="1"/>
  <c r="G8" i="1"/>
  <c r="E12" i="1" l="1"/>
  <c r="E13" i="1" s="1"/>
  <c r="E13" i="10"/>
  <c r="F12" i="1" l="1"/>
  <c r="F13" i="1" s="1"/>
  <c r="F11" i="10" l="1"/>
  <c r="G11" i="10" s="1"/>
  <c r="K11" i="10" s="1"/>
  <c r="F6" i="10"/>
  <c r="G6" i="10" l="1"/>
  <c r="K6" i="10" s="1"/>
  <c r="F13" i="10"/>
  <c r="G12" i="1" l="1"/>
  <c r="G13" i="1" s="1"/>
  <c r="G13" i="10"/>
  <c r="H12" i="1" s="1"/>
  <c r="H13" i="1" s="1"/>
</calcChain>
</file>

<file path=xl/sharedStrings.xml><?xml version="1.0" encoding="utf-8"?>
<sst xmlns="http://schemas.openxmlformats.org/spreadsheetml/2006/main" count="440" uniqueCount="142">
  <si>
    <t>จังหวัด</t>
  </si>
  <si>
    <t>รวมรายได้ (ไม่รวมงบลงทุน)</t>
  </si>
  <si>
    <t>รวมค่าใช้จ่าย (ไม่รวมค่าเสื่อมราคาและค่าตัดจำหน่าย)</t>
  </si>
  <si>
    <t>EBITDA</t>
  </si>
  <si>
    <t>งบลงทุน(เงินบำรุง)เปรียบเทียบกับ EBITDA&gt;20%</t>
  </si>
  <si>
    <t>เกินดุล</t>
  </si>
  <si>
    <t>ขาดดุล</t>
  </si>
  <si>
    <t xml:space="preserve">สรุปแผนประมาณการ
(แห่ง) </t>
  </si>
  <si>
    <t>วงเงินลงทุนได้ 20% ของ EBITDA</t>
  </si>
  <si>
    <t>(1)</t>
  </si>
  <si>
    <t>(2)</t>
  </si>
  <si>
    <t>(5)</t>
  </si>
  <si>
    <t>(7)</t>
  </si>
  <si>
    <t>(3)=(1) - (2)</t>
  </si>
  <si>
    <t>(4)=(3)*20%</t>
  </si>
  <si>
    <t>(6)=(4) - (5)</t>
  </si>
  <si>
    <t>นครนายก</t>
  </si>
  <si>
    <t>นนทบุรี</t>
  </si>
  <si>
    <t>ปทุมธานี</t>
  </si>
  <si>
    <t>พระนครศรีอยุธยา</t>
  </si>
  <si>
    <t>ลพบุรี</t>
  </si>
  <si>
    <t>สระบุรี</t>
  </si>
  <si>
    <t>สิงห์บุรี</t>
  </si>
  <si>
    <t>อ่างทอง</t>
  </si>
  <si>
    <t>รวม</t>
  </si>
  <si>
    <t>จำนวน
หน่วยบริการ</t>
  </si>
  <si>
    <t>สมดุล</t>
  </si>
  <si>
    <t>จังหวัดนนทบุรี</t>
  </si>
  <si>
    <t>หน่วยบริการ</t>
  </si>
  <si>
    <t>1.พระนั่งเกล้า</t>
  </si>
  <si>
    <t>2.บางกรวย</t>
  </si>
  <si>
    <t>6.ปากเกร็ด</t>
  </si>
  <si>
    <t>จังหวัดลพบุรี</t>
  </si>
  <si>
    <t>2.บ้านหมี่</t>
  </si>
  <si>
    <t>8.สระโบสถ์</t>
  </si>
  <si>
    <t>จังหวัดปทุมธานี</t>
  </si>
  <si>
    <t>1.ปทุมธานี</t>
  </si>
  <si>
    <t>2.คลองหลวง</t>
  </si>
  <si>
    <t>3.ธัญบุรี</t>
  </si>
  <si>
    <t>4.ประชาธิปัตย์</t>
  </si>
  <si>
    <t>จังหวัดสิงห์บุรี</t>
  </si>
  <si>
    <t>1.สิงห์บุรี</t>
  </si>
  <si>
    <t>2.อินทร์บุรี</t>
  </si>
  <si>
    <t>จังหวัดนครนายก</t>
  </si>
  <si>
    <t>1.นครนายก</t>
  </si>
  <si>
    <t>1.สระบุรี</t>
  </si>
  <si>
    <t>2.พระพุทธบาท</t>
  </si>
  <si>
    <t>3.แก่งคอย</t>
  </si>
  <si>
    <t>6.หนองแซง</t>
  </si>
  <si>
    <t>Planfin type</t>
  </si>
  <si>
    <t>การปรับ Planfin</t>
  </si>
  <si>
    <t>จังหวัดสระบุรี</t>
  </si>
  <si>
    <t>จังหวัดพระนครศรีอยุธยา</t>
  </si>
  <si>
    <t>1.พระนครศรีอยุธยา</t>
  </si>
  <si>
    <t>2.เสนา</t>
  </si>
  <si>
    <t>3.ท่าเรือ</t>
  </si>
  <si>
    <t>4.สมเด็จพระสังฆราช</t>
  </si>
  <si>
    <t>5.บางไทร</t>
  </si>
  <si>
    <t>6.บางบาล</t>
  </si>
  <si>
    <t>7.บางปะอิน</t>
  </si>
  <si>
    <t>8.บางปะหัน</t>
  </si>
  <si>
    <t>9.ผักไห่</t>
  </si>
  <si>
    <t>10.ภาชี</t>
  </si>
  <si>
    <t>11.ลาดบัวหลวง</t>
  </si>
  <si>
    <t>12.วังน้อย</t>
  </si>
  <si>
    <t>13.บางซ้าย</t>
  </si>
  <si>
    <t>15.มหาราช</t>
  </si>
  <si>
    <t>16.บ้านแพรก</t>
  </si>
  <si>
    <t>จังหวัดอ่างทอง</t>
  </si>
  <si>
    <t>1.อ่างทอง</t>
  </si>
  <si>
    <t>2.ไชโย</t>
  </si>
  <si>
    <t>3.ป่าโมก</t>
  </si>
  <si>
    <t>4.โพธิ์ทอง</t>
  </si>
  <si>
    <t>5.แสวงหา</t>
  </si>
  <si>
    <t>6.วิเศษชัยชาญ</t>
  </si>
  <si>
    <t>7.สามโก้</t>
  </si>
  <si>
    <t xml:space="preserve">(แผน 6)
จัดซื้อ/จัดหาด้วยเงินบำรุงของ รพ. </t>
  </si>
  <si>
    <t>เหตุผลประกอบ</t>
  </si>
  <si>
    <t>การวิเคราะห์การลงทุน (เงินบำรุง)  เปรียบเทียบกับ EBITDA &gt;20%</t>
  </si>
  <si>
    <t>สรุปผลการจัดทำแผนทางการเงิน (Planfin) ครึ่งปีหลัง ปีงบประมาณ 2563</t>
  </si>
  <si>
    <t xml:space="preserve"> ปรับลดการลงทุนให้ &lt; 20% EBITDA เพื่อเงินเหลือจาก EBITDA – ลงทุนจะไปเพิ่ม NWC  ทำ Feasibility study</t>
  </si>
  <si>
    <t xml:space="preserve"> ไม่ต้องปรับ</t>
  </si>
  <si>
    <t xml:space="preserve">ทบทวนการลงทุนอีกครั้ง </t>
  </si>
  <si>
    <t>2.ปากพลี</t>
  </si>
  <si>
    <t>3.บ้านนา</t>
  </si>
  <si>
    <t>4.องครักษ์</t>
  </si>
  <si>
    <t>ปรับ EBITDA ให้เป็น + และ ทบทวนการลงทุนอีกครั้งควร ลงทุนให้ &lt; 20% EBITDAทำ Feasibility study</t>
  </si>
  <si>
    <t>ทบทวนการลงทุนอีกครั้ง ทำFeasibility study</t>
  </si>
  <si>
    <t xml:space="preserve">ปรับ EBITDA ให้เป็น + และทบทวนการลงทุนอีกครั้งเพื่อเงินเหลือจาก EBITDA – ลงทุนจะไปเพิ่ม NWC </t>
  </si>
  <si>
    <t>OK</t>
  </si>
  <si>
    <t>Risk Scoring
ไตรมาส2/63</t>
  </si>
  <si>
    <t>5.หนองเสือ</t>
  </si>
  <si>
    <t>6.ลาดหลุมแก้ว</t>
  </si>
  <si>
    <t>7.ลำลูกกา</t>
  </si>
  <si>
    <t>8.สามโคก</t>
  </si>
  <si>
    <t>3.บางระจัน</t>
  </si>
  <si>
    <t>4.ค่ายบางระจัน</t>
  </si>
  <si>
    <t>5.พรหมบุรี</t>
  </si>
  <si>
    <t>6.ท่าช้าง</t>
  </si>
  <si>
    <t>1.พระนารายณ์มหาราช</t>
  </si>
  <si>
    <t>3.พัฒนานิคม</t>
  </si>
  <si>
    <t>4.โคกสำโรง</t>
  </si>
  <si>
    <t>5.ชัยบาดาล</t>
  </si>
  <si>
    <t>6.ท่าวุ้ง</t>
  </si>
  <si>
    <t>7.ท่าหลวง</t>
  </si>
  <si>
    <t>9.โคกเจริญ</t>
  </si>
  <si>
    <t>10.ลำสนธิ</t>
  </si>
  <si>
    <t>11.หนองม่วง</t>
  </si>
  <si>
    <t>3.บางใหญ่</t>
  </si>
  <si>
    <t>4.บางบัวทอง</t>
  </si>
  <si>
    <t>5.ไทรน้อย</t>
  </si>
  <si>
    <t>7.บางบัวทอง2</t>
  </si>
  <si>
    <t>14.อุทัย</t>
  </si>
  <si>
    <t>4.หนองแค</t>
  </si>
  <si>
    <t>5.วิหารแดง</t>
  </si>
  <si>
    <t>7.บ้านหมอ</t>
  </si>
  <si>
    <t>8.ดอนพุด</t>
  </si>
  <si>
    <t>9.หนองโดน</t>
  </si>
  <si>
    <t>10.เสาไห้</t>
  </si>
  <si>
    <t>11.มวกเหล็ก</t>
  </si>
  <si>
    <t>12.วังม่วง</t>
  </si>
  <si>
    <t>-</t>
  </si>
  <si>
    <t>มีรายการจัดซื้อด้วยเงินบำรุง 1,800,000 บาท มีหนี้ตามจ่ายค่า Lab</t>
  </si>
  <si>
    <t>มีรายการจัดซื้อด้วยเงินบำรุง 1,630,000 บาท และเงินบริจาค 2,462,361 บาท(มีหนี้ครุภัณฑ์สิ่งก่อสร้าง 3,095,000 บาท และหนี้ค่าแรงค้างจ่าย)</t>
  </si>
  <si>
    <t>มีรายการใช้เงินบำรุง 3,200,000 บาท และเงินบริจาค 2,000,000 บาท เพื่อจัดซื้อครุภัณฑ์การแพทย์</t>
  </si>
  <si>
    <t>มีรายการใช้เงินบำรุง 993,180 บาท และเงินบริจาค 2,668,915 บาทเพื่อจัดซื้อครุภัณฑ์การแพทย์ทดแทนของเดิมที่ชำรุด</t>
  </si>
  <si>
    <t>ทดแทนของเดิมชำรุด และรองรับการขยายบริการ (จัดซื้อครุภัณฑ์การแพทย์เปิดคลินิคล้างไต)</t>
  </si>
  <si>
    <t xml:space="preserve">เนื่องจากมีครุภัณฑ์การแพทย์หลายรายการที่จำเป็นต้องซื้อเพิ่มเนื่องจากชำรุด และไม่เพียงพอ  รวมทั้งมีการพัฒนาระบบงานต่างๆ  เพิ่มมากขึ้น ทำให้จำเป็นต้องมีการจัดซื้อครุภัณฑ์เพิ่มเติม    </t>
  </si>
  <si>
    <t>เนื่องจากได้มีการจัดทำห้องประชุมและห้องทันตกรรม ทำให้ต้องมีการจัดซื้อครุภัณฑ์เพื่อใช้ในห้องดังกล่าว และได้มีการจัดซื้อครุภัณฑ์เกี่ยวกับการป้องกันเหตุการณ์โควิค19</t>
  </si>
  <si>
    <t>เนื่องจากสถานการณ์โรคโควิด 19 ทำให้รายได้สิทธิเบิกจ่ายตรงกรมบัญชีกลาง ลดลงเนื่องจากรายได้หลักส่วนใหญ่ของ รพ.มาจากการให้บริการทันตกรรม การบริการกายภาพบำบัดและแพทย์แผนไทย ในส่วนของค่าใช้จ่าย เป็นค่าใช้จ่ายคงที่ซึ่งไม่สามารถปรับลดลงได้</t>
  </si>
  <si>
    <t>ปรับรายได้ลดลง จาก 
1. รายได้ UC คาดการณ์รายได้จากเงินช่วยเหลือ CF ลดลงจากปี 62 ได้รับจำนวน 36 ล้าน เท่าที่ได้รับมาแล้ว 11 ล้าน ลดลงจำนวน  25 ล้านบาท 
2. รายได้งบลทุนปรับลดลงจากเดิมตั้งจากใบคำขอขาขึ้น 16.6 ล้านบาท ปรับลดลงจากรายการตอบกลับ จำนวน  7.76 ล้านบาท ลดลง จำนวน 8.85 ล้านบาท</t>
  </si>
  <si>
    <t>พัฒนาระบบบริการ smart opd และ ipd ประกอบด้วย ระบบท่อลมขนส่งยาและสิ่งส่งตรวจทางการแพทย์ ( 1.6 ล้าน) เครื่องวัดสายตาและวัดความโค้งตาดำอัตโนมัติ 505,000 บาท เครื่องอบฆ่าเชื้อด้วยระบบไฮเดรเจนเพอร์ออกไซด์พลาสมา ขนาดความจุ 14  ลิตร 570,000 บาท เครื่องติดตามการทำงานของหัวใจและสัญญาณชีพ 4 พารามิเตอร์ 1,956,000 บาท เครื่องให้การรักษาด้วยแสงเลเซอร์กำลังสูง 849,000 บาท เครื่องสำรองไฟ 40 เครื่อง 99,600 บาท และอื่น ๆ รวม ทั้งหมด 31 รายการ</t>
  </si>
  <si>
    <t>ซื้อครุภัณฑ์เพื่อใช้กับระบบ Paperless(4 รายการ) 1.ตู้ระบบคิว(Smart Laboqueue) 1 เครื่อง จำนวนเงิน 290,000 บาท 2.เครื่องตรวจคลื่นไฟฟ้าหัวใจ 12 ลีด พร้อมระบบประมวลผลจัดเก็บภาพและเชื่อมต่อกับระบบฐานข้อมูลโรงพยาบาล 1 เครื่อง จำนวนเงิน 180,000 บาท 3.เครื่องวัดความดันแบบสอดแขนพร้อมระบบเชื่อมต่อแสดงผลบนฐานข้อมูลโรงพยาบาล 2 เครื่อง จำนวนเงิน 260,000 บาท 4.เครื่องชั่งน้ำหนักวัดส่วนสูงพร้อมระบบเชื่อมต่อแสดงผลบนฐานข้อมูลโรงพยาบาล 1 เครื่อง จำวนเงิน 120,000 บาทรวมครุภัณฑ์ 4 รายการ เป็นเงิน 850,000 บาท</t>
  </si>
  <si>
    <t xml:space="preserve"> - มีการปรับปรุง/ย้ายการให้บริการผู้ป่วยนอก , ห้องผ่าตัด , X-ray จากอาคารเฉลิมพระเกียรติฯ เนื่องจากพื้นที่คับแคบและไม่เพียงพอต่อผุ้รับบริการ ไปยังอาคารผู้ป่วยนอก อุบัติเหตุฉุกเฉินวิเคราะห์บำบัด 5 ชั้น 
 - มีการปรับปรุง/จัดหาเกี่ยวกับระบบเครื่องกำเนิดไฟฟ้า รวมถึงระบบสนับสนุนต่าง ๆ เพื่อรองรับการขยายบริการของอาคารผู้ป่วยนอกฯ</t>
  </si>
  <si>
    <t>มีแผนการลงทุนเกินร้อยละ 20 เนื่องจากเป็นการลงทุนด้านโครงสร้างพื้นฐานเพิ่มเติม เช่น ทางเดินเชื่อมอาคาร  ปรับปรุงระบบปรับอากาศผู้ป่วยนอก (ตามข้อเสนอแนะจาก สรพ ให้ปรับปรุงระบบระบายอากาศ)  ปรับปรุงอาคารผู้ป่วยนอก ใน เดิม เนื่องจากปัจจุบันค่อนข้างชำรุด และเพื่อรองรับการขยายการให้บริการผู้ป่วยของโรงพยาบาลบางบัวทองให้สามารถให้บริการประชาชนผู้มารับบริการ ทั้ง ผู้ป่วยนอก และผู้ป่วยใน</t>
  </si>
  <si>
    <t>1
(รพ.ธัญบุรี)</t>
  </si>
  <si>
    <t>1
(รพ.บ้านหมอ)</t>
  </si>
  <si>
    <t>2
(รพ.อินทร์บุรี/พรหมบุรี)</t>
  </si>
  <si>
    <t>ลงทุนด้วยเงินบำรุงโรงพยาบาลจัดทำสิ่งปลูกสร้าง 2 รายการ
1. อาคารพักพยาบาล 24 ห้อง (12 ครอบครัว) อาคาร คสล.  3 ชั้น พื้นที่ใช้สอย 745 ตร.ม. จำนวนเงิน 10,000,000 บาท เนื่องจากอาคารบ้านพักเดิม ทรุดโทรมไม่คุ้มค่าต่อการซ่อมแซม และไม่เพียงพอต่อจำนวนบุคลากรภายใน รพ. จึงมีความจำเป็นที่จะต้องสร้างเพิ่มเติม
2. อาคารอเนกประสงค์ (โรงอาหาร) จำนวน 1,000,000 บาท เนื่องด้วยในปัจจุบัน รพ.วิหารแดง ไม่มีพื้นที่ในการบริการเรื่องอาหารสำหรับผู้มาใช้บริการ จึงมีความจำเป็นจะต้องจัดสร้างอาคารอเนกประสงค์ (โรงอาหาร) เพื่อจัดบริการในเรื่องของอาหารสำหรับผู้มาใช้บริการและเจ้าหน้าที่ภายในโรงพยาบาล</t>
  </si>
  <si>
    <t>1.มีการลงทุนเพิ่มขึ้น เน้นการก่อให้เกิดรายได้คือ ปรับปรุงซ่อมแซมอาคารผู้ป่วยใน และ ห้องแยกโรคจัดซื้อครุภัณฑ์ทางการแพทย์ 
2.เพิ่มรายรับ มีโครงการพัฒนาเรื่องการบันทึกข้อมูลให้มีประสิทธิภาพ ในการให้บริการและการเรียกเก็บข้อมูลด้านสารสนเทศให้ครบถ้วนถูกต้องและรพ.จะมีพัฒนาจัดตั้งศูนย์จัดเก็บรายได้ เพื่อเพิ่มศักยภาพในการจัดเก็บลูกหนี้ตลอดจนมีแผนงานโครงการพัฒนาโปรแกรมจัดเก็บรายได้ เพื่อไม่ให้เกิดการสูญเสียรายได้และให้มีความทันเวลาเพิ่มมากขึ้น และมีการจัดซื้อครุภัณฑ์คอมพิวเตอร์เพิ่มขึ้นเพื่อการตอบสนองนโยบายปรับเป็น Smart Hospital (ปรับเวอร์ชั่นโปรแกรม HosXP 3 เป็น V.4อุปกรณ์คอมพิวเตอร์และซอฟแวร์อื่น ๆ ต้องมีการปรับเวอร์ชั่นเพิ่มขึ้นด้วย)
3.เนื่องจากสถานการณ์แพร่ระบาดของโรคติดเชื้อไวรัสโคโรนา 2019 ทวีความรุนแรงต้องจัดตั้งคลินิก ARI ขึ้นมาใหม่ เพราะไม่มีห้องหรือพื้นที่ที่สามารถใช้ได้เพราะอยู่ในช่วงระหว่างการก่อสร้างอาคารใหม่ จึงมีความจำเป็นต้องจัดซื้อครุภัณฑ์เพิ่มขึ้น</t>
  </si>
  <si>
    <t>เนื่องจาก สถานการณ์โควิด-19 ตั้งแต่ช่วงเดือน กุมภาพันธ์ 2563 เป็นต้นมา 
1. รายได้ค่ารักษาเบิกต้นสังกัด ปรับลดลงเป็น 124,787.60 บาท เนื่องจาก คนไข้ ที่มาจาก บริษัท มีจำนวนลดลง
2. รายได้อื่น ปรับลดลงเป็น 10,954,635.50 บาท เนื่องจาก ปิดแผนกบริการแพทย์แผนไทย ทำให้ยอดการใช้บริการลดลง
3. รายจ่ายต้นทุนเวชภัณฑ์มิใช่ยาและวัสดุการแพทย์ ปรับเพิ่มขึ้นเป็น 2,660,213.72 บาท เนื่องจาก มีการใช้ วัสดุการแพทย์ เช่น PPE เพิ่มขึ้น
4. ค่าเสื่อมราคา และค่าตัดจำหน่าย ปรับเพิ่มขึ้นเป็น 4,250,112.73 บาท</t>
  </si>
  <si>
    <t>1.รพ.ธัญบุรี เป็นรพ.ระดับM2 ซึ่งกำหนดเป็นรพ.ชุมชนแม่ข่ายรับส่งต่อผู้ป่วยฝั่งตะวันออกของแม่น้ำเจ้าพระยาซึ่งมีแพทย์เฉพาะทางมาปฏิบัติราชการเป็นการประจำในปี2562จำนวน 4ท่าน4สาขาได้แก่สตูนรีแพทย์ กุมารเวชกรรม ออโถปิดิกส์และจักษุแพทย์ และปีงบประมาณ2563 จะมีสาขาอายุรแพทย์จบการศึกษากลับมาปฏิบัติราชการเพื่อให้บริการเฉพาะทาง จำเป็นต้องใช้เครื่องมือที่มีความเฉพาะเจาะจงหลายอย่าง
2.รพ.ได้รับการส่งมอบอาคารบริการ10 ชั้นเรียบร้อยแล้วในเดือนต.ค.2562 จำเป็นต้องมีการปรับสภาพแวดล้อมภายนอก เช่น ถนนรอบอาคาร ใช้งบประมาณ4,000,000บาทซึ่งได้ผู้รับจ้างแล้ว และภายในอาคารต้องวางระบบงานต่างๆเพื่อรองรับการบริการที่จะเกิดขึ้นตามแผนงบลงทุนครุภัณฑ์และสิ่งก่อสร้าง และการใช้จ่ายดังกล่าวจะนำรายได้ที่ได้มาในปี2563สมทบกับเงินบำรุงคงเหลือ เพื่อให้สามารถดำเนินการได้ตามแผนที่กำหนดไว้โดยมีคณะทำงานเฝ้าระวังสถานการณ์ทางการเงินการคลังของรพ.ควบคุมกำกับการใช้จ่ายให้เป็นไปตามแผนทางการเงินต่อไ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</si>
</sst>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0.00_ ;[Red]\-#,##0.00\ "/>
  </numFmts>
  <fonts count="11" x14ac:knownFonts="1">
    <font>
      <sz val="11"/>
      <color theme="1"/>
      <name val="Tahoma"/>
      <family val="2"/>
      <charset val="222"/>
      <scheme val="minor"/>
    </font>
    <font>
      <sz val="11"/>
      <color theme="1"/>
      <name val="Tahoma"/>
      <family val="2"/>
      <charset val="222"/>
      <scheme val="minor"/>
    </font>
    <font>
      <b/>
      <sz val="16"/>
      <color theme="1"/>
      <name val="TH SarabunPSK"/>
      <family val="2"/>
    </font>
    <font>
      <sz val="16"/>
      <color theme="1"/>
      <name val="TH SarabunPSK"/>
      <family val="2"/>
    </font>
    <font>
      <b/>
      <sz val="18"/>
      <color theme="1"/>
      <name val="TH SarabunPSK"/>
      <family val="2"/>
    </font>
    <font>
      <sz val="16"/>
      <name val="TH SarabunPSK"/>
      <family val="2"/>
    </font>
    <font>
      <b/>
      <sz val="16"/>
      <name val="TH SarabunPSK"/>
      <family val="2"/>
    </font>
    <font>
      <b/>
      <sz val="16"/>
      <color rgb="FFFF0000"/>
      <name val="TH SarabunPSK"/>
      <family val="2"/>
    </font>
    <font>
      <b/>
      <sz val="14"/>
      <color theme="1"/>
      <name val="TH SarabunPSK"/>
      <family val="2"/>
    </font>
    <font>
      <sz val="11"/>
      <color indexed="8"/>
      <name val="Tahoma"/>
      <family val="2"/>
      <charset val="222"/>
    </font>
    <font>
      <sz val="16"/>
      <color rgb="FFFF0000"/>
      <name val="TH SarabunPSK"/>
      <family val="2"/>
    </font>
  </fonts>
  <fills count="6">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cellStyleXfs>
  <cellXfs count="112">
    <xf numFmtId="0" fontId="0" fillId="0" borderId="0" xfId="0"/>
    <xf numFmtId="0" fontId="3" fillId="0" borderId="0" xfId="0" applyFont="1"/>
    <xf numFmtId="0" fontId="2" fillId="0" borderId="1" xfId="0" applyFont="1" applyBorder="1" applyAlignment="1">
      <alignment horizontal="center"/>
    </xf>
    <xf numFmtId="0" fontId="3" fillId="0" borderId="0" xfId="0" applyFont="1" applyAlignment="1">
      <alignment horizontal="center"/>
    </xf>
    <xf numFmtId="187" fontId="3" fillId="0" borderId="1" xfId="1" applyNumberFormat="1" applyFont="1" applyBorder="1"/>
    <xf numFmtId="0" fontId="2" fillId="2" borderId="1" xfId="0" quotePrefix="1" applyNumberFormat="1" applyFont="1" applyFill="1" applyBorder="1" applyAlignment="1">
      <alignment horizontal="center"/>
    </xf>
    <xf numFmtId="43" fontId="3" fillId="0" borderId="0" xfId="1" applyFont="1"/>
    <xf numFmtId="187" fontId="3" fillId="0" borderId="0" xfId="0" applyNumberFormat="1" applyFont="1"/>
    <xf numFmtId="0" fontId="4" fillId="0" borderId="6"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187" fontId="2" fillId="0" borderId="1" xfId="1" applyNumberFormat="1" applyFont="1" applyBorder="1"/>
    <xf numFmtId="0" fontId="4" fillId="0" borderId="6"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2" fillId="0" borderId="0" xfId="1" applyNumberFormat="1" applyFont="1" applyBorder="1" applyAlignment="1">
      <alignment horizontal="center"/>
    </xf>
    <xf numFmtId="0" fontId="3" fillId="0" borderId="0" xfId="0" applyFont="1" applyBorder="1"/>
    <xf numFmtId="0" fontId="2" fillId="0" borderId="1" xfId="0" applyFont="1" applyBorder="1" applyAlignment="1">
      <alignment vertical="top"/>
    </xf>
    <xf numFmtId="187" fontId="3" fillId="0" borderId="0" xfId="1" applyNumberFormat="1" applyFont="1" applyAlignment="1">
      <alignment vertical="top"/>
    </xf>
    <xf numFmtId="187" fontId="3" fillId="0" borderId="1" xfId="1" applyNumberFormat="1" applyFont="1" applyBorder="1" applyAlignment="1">
      <alignment vertical="top"/>
    </xf>
    <xf numFmtId="0" fontId="4" fillId="0" borderId="6" xfId="0" applyFont="1" applyBorder="1" applyAlignment="1">
      <alignment horizontal="center"/>
    </xf>
    <xf numFmtId="0" fontId="4" fillId="0" borderId="0" xfId="0" applyFont="1" applyBorder="1" applyAlignment="1">
      <alignment horizontal="center"/>
    </xf>
    <xf numFmtId="0" fontId="3" fillId="0" borderId="1" xfId="0" applyFont="1" applyBorder="1" applyAlignment="1">
      <alignment horizontal="center" vertical="top"/>
    </xf>
    <xf numFmtId="0" fontId="2" fillId="0" borderId="1" xfId="0" applyFont="1" applyBorder="1" applyAlignment="1">
      <alignment horizontal="center" vertical="top"/>
    </xf>
    <xf numFmtId="187" fontId="2" fillId="0" borderId="1" xfId="1" applyNumberFormat="1"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1" applyNumberFormat="1"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5" fillId="0" borderId="1" xfId="0" applyFont="1" applyBorder="1" applyAlignment="1">
      <alignment horizontal="center" vertical="top"/>
    </xf>
    <xf numFmtId="43" fontId="3" fillId="0" borderId="1" xfId="0" applyNumberFormat="1" applyFont="1" applyBorder="1"/>
    <xf numFmtId="0" fontId="2" fillId="0" borderId="1" xfId="0" applyFont="1" applyFill="1" applyBorder="1" applyAlignment="1">
      <alignment vertical="top"/>
    </xf>
    <xf numFmtId="187" fontId="3" fillId="0" borderId="1" xfId="1" applyNumberFormat="1" applyFont="1" applyFill="1" applyBorder="1" applyAlignment="1">
      <alignment vertical="top"/>
    </xf>
    <xf numFmtId="43" fontId="3" fillId="0" borderId="1" xfId="0" applyNumberFormat="1" applyFont="1" applyFill="1" applyBorder="1" applyAlignment="1">
      <alignment vertical="top"/>
    </xf>
    <xf numFmtId="0" fontId="3" fillId="0" borderId="1" xfId="0" applyFont="1" applyFill="1" applyBorder="1" applyAlignment="1">
      <alignment vertical="top" wrapText="1"/>
    </xf>
    <xf numFmtId="0" fontId="5" fillId="0" borderId="1" xfId="0" applyFont="1" applyFill="1" applyBorder="1" applyAlignment="1">
      <alignment horizontal="center" vertical="top"/>
    </xf>
    <xf numFmtId="0" fontId="3" fillId="0" borderId="0" xfId="0" applyFont="1" applyFill="1"/>
    <xf numFmtId="0" fontId="3" fillId="0" borderId="0" xfId="0" applyFont="1" applyAlignment="1">
      <alignment wrapText="1"/>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0" xfId="0" applyFont="1" applyFill="1" applyAlignment="1">
      <alignment vertical="top"/>
    </xf>
    <xf numFmtId="187" fontId="3" fillId="0" borderId="1" xfId="0" applyNumberFormat="1" applyFont="1" applyFill="1" applyBorder="1" applyAlignment="1">
      <alignment vertical="top"/>
    </xf>
    <xf numFmtId="187" fontId="2" fillId="0" borderId="3" xfId="1" applyNumberFormat="1" applyFont="1" applyBorder="1"/>
    <xf numFmtId="0" fontId="2" fillId="2" borderId="4" xfId="0" quotePrefix="1" applyNumberFormat="1" applyFont="1" applyFill="1" applyBorder="1" applyAlignment="1">
      <alignment horizontal="center"/>
    </xf>
    <xf numFmtId="0" fontId="2" fillId="2" borderId="4" xfId="0" quotePrefix="1" applyNumberFormat="1" applyFont="1" applyFill="1" applyBorder="1" applyAlignment="1">
      <alignment horizontal="center"/>
    </xf>
    <xf numFmtId="40" fontId="2" fillId="0" borderId="1" xfId="0" applyNumberFormat="1" applyFont="1" applyFill="1" applyBorder="1" applyAlignment="1">
      <alignment vertical="top"/>
    </xf>
    <xf numFmtId="40" fontId="2" fillId="0" borderId="1" xfId="0" applyNumberFormat="1" applyFont="1" applyFill="1" applyBorder="1" applyAlignment="1">
      <alignment horizontal="center" vertical="top"/>
    </xf>
    <xf numFmtId="40" fontId="6" fillId="0" borderId="1" xfId="0" applyNumberFormat="1" applyFont="1" applyFill="1" applyBorder="1" applyAlignment="1">
      <alignment horizontal="center" vertical="top"/>
    </xf>
    <xf numFmtId="0" fontId="2" fillId="0" borderId="7" xfId="1" applyNumberFormat="1" applyFont="1" applyBorder="1" applyAlignment="1">
      <alignment horizontal="center" vertical="top"/>
    </xf>
    <xf numFmtId="0" fontId="2" fillId="0" borderId="1" xfId="0" applyFont="1" applyFill="1" applyBorder="1" applyAlignment="1">
      <alignment horizontal="center" vertical="top" wrapText="1"/>
    </xf>
    <xf numFmtId="40" fontId="3" fillId="0" borderId="1" xfId="0" applyNumberFormat="1" applyFont="1" applyFill="1" applyBorder="1" applyAlignment="1">
      <alignment vertical="top"/>
    </xf>
    <xf numFmtId="38" fontId="3" fillId="0" borderId="0" xfId="0" applyNumberFormat="1" applyFont="1"/>
    <xf numFmtId="40" fontId="3" fillId="0" borderId="0" xfId="0" applyNumberFormat="1" applyFont="1"/>
    <xf numFmtId="38" fontId="3" fillId="0" borderId="0" xfId="0" applyNumberFormat="1" applyFont="1" applyAlignment="1">
      <alignment horizontal="center"/>
    </xf>
    <xf numFmtId="38" fontId="3" fillId="0" borderId="1" xfId="0" applyNumberFormat="1" applyFont="1" applyBorder="1" applyAlignment="1">
      <alignment horizontal="center"/>
    </xf>
    <xf numFmtId="40" fontId="3" fillId="0" borderId="0" xfId="1" applyNumberFormat="1" applyFont="1"/>
    <xf numFmtId="40" fontId="3" fillId="0" borderId="0" xfId="0" applyNumberFormat="1" applyFont="1" applyAlignment="1">
      <alignment horizontal="center"/>
    </xf>
    <xf numFmtId="0" fontId="3" fillId="0" borderId="0" xfId="0" applyFont="1" applyFill="1"/>
    <xf numFmtId="40" fontId="7" fillId="0" borderId="1" xfId="0" applyNumberFormat="1" applyFont="1" applyFill="1" applyBorder="1" applyAlignment="1">
      <alignment horizontal="center" vertical="top"/>
    </xf>
    <xf numFmtId="40" fontId="6" fillId="0" borderId="1" xfId="0" applyNumberFormat="1" applyFont="1" applyFill="1" applyBorder="1" applyAlignment="1">
      <alignment horizontal="center" vertical="top"/>
    </xf>
    <xf numFmtId="0" fontId="2" fillId="0" borderId="1" xfId="0" applyFont="1" applyBorder="1" applyAlignment="1">
      <alignment horizontal="center" wrapText="1"/>
    </xf>
    <xf numFmtId="0" fontId="3" fillId="0" borderId="0" xfId="0" applyFont="1" applyFill="1" applyAlignment="1">
      <alignment vertical="top" wrapText="1"/>
    </xf>
    <xf numFmtId="40" fontId="3" fillId="0" borderId="1" xfId="1" applyNumberFormat="1" applyFont="1" applyFill="1" applyBorder="1" applyAlignment="1">
      <alignment vertical="top" wrapText="1"/>
    </xf>
    <xf numFmtId="40" fontId="3" fillId="0" borderId="1" xfId="0" applyNumberFormat="1" applyFont="1" applyFill="1" applyBorder="1" applyAlignment="1">
      <alignment vertical="top" wrapText="1"/>
    </xf>
    <xf numFmtId="40" fontId="3" fillId="0" borderId="0" xfId="0" applyNumberFormat="1" applyFont="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wrapText="1"/>
    </xf>
    <xf numFmtId="0" fontId="10" fillId="0" borderId="1" xfId="0" applyFont="1" applyBorder="1" applyAlignment="1">
      <alignment horizontal="center" vertical="top"/>
    </xf>
    <xf numFmtId="0" fontId="2" fillId="0" borderId="0" xfId="0" applyFont="1" applyAlignment="1">
      <alignment horizontal="center"/>
    </xf>
    <xf numFmtId="0" fontId="2" fillId="0" borderId="1" xfId="0" applyFont="1" applyFill="1" applyBorder="1" applyAlignment="1">
      <alignment horizontal="left"/>
    </xf>
    <xf numFmtId="187" fontId="3" fillId="0" borderId="1" xfId="1" applyNumberFormat="1" applyFont="1" applyFill="1" applyBorder="1" applyAlignment="1">
      <alignment vertical="top" wrapText="1"/>
    </xf>
    <xf numFmtId="187" fontId="3" fillId="0" borderId="1" xfId="0" applyNumberFormat="1" applyFont="1" applyFill="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0" fontId="2" fillId="0" borderId="1" xfId="0" applyFont="1" applyFill="1" applyBorder="1" applyAlignment="1">
      <alignment horizontal="left" vertical="top"/>
    </xf>
    <xf numFmtId="38" fontId="3" fillId="0" borderId="1" xfId="0" applyNumberFormat="1" applyFont="1" applyBorder="1" applyAlignment="1">
      <alignment horizontal="left"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43" fontId="3" fillId="0" borderId="1" xfId="1" applyFont="1" applyBorder="1" applyAlignment="1">
      <alignment horizontal="left" vertical="top" wrapText="1"/>
    </xf>
    <xf numFmtId="43" fontId="3" fillId="0" borderId="1" xfId="0" applyNumberFormat="1" applyFont="1" applyBorder="1" applyAlignment="1">
      <alignment vertical="top"/>
    </xf>
    <xf numFmtId="0" fontId="3" fillId="0" borderId="1" xfId="0" applyFont="1" applyBorder="1" applyAlignment="1">
      <alignment horizontal="center"/>
    </xf>
    <xf numFmtId="0" fontId="5" fillId="0" borderId="1" xfId="3" applyFont="1" applyFill="1" applyBorder="1" applyAlignment="1">
      <alignment horizontal="left" vertical="top" wrapText="1"/>
    </xf>
    <xf numFmtId="0" fontId="5" fillId="0" borderId="1" xfId="3"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xf>
    <xf numFmtId="0" fontId="5" fillId="0" borderId="1" xfId="0" applyFont="1" applyFill="1" applyBorder="1" applyAlignment="1">
      <alignment horizontal="left" wrapText="1"/>
    </xf>
    <xf numFmtId="0" fontId="2" fillId="0" borderId="1" xfId="0" applyFont="1" applyFill="1" applyBorder="1" applyAlignment="1">
      <alignment horizontal="center" vertical="top"/>
    </xf>
    <xf numFmtId="0" fontId="6" fillId="0" borderId="1" xfId="0" applyFont="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vertical="center"/>
    </xf>
    <xf numFmtId="187" fontId="3" fillId="0" borderId="1" xfId="1" applyNumberFormat="1" applyFont="1" applyBorder="1" applyAlignment="1">
      <alignment vertical="center"/>
    </xf>
    <xf numFmtId="0"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wrapText="1"/>
    </xf>
    <xf numFmtId="187" fontId="2" fillId="0" borderId="1" xfId="1" applyNumberFormat="1" applyFont="1" applyBorder="1" applyAlignment="1">
      <alignment vertical="center"/>
    </xf>
    <xf numFmtId="0" fontId="2" fillId="0" borderId="1" xfId="1" applyNumberFormat="1" applyFont="1" applyBorder="1" applyAlignment="1">
      <alignment horizontal="center" vertical="center"/>
    </xf>
    <xf numFmtId="40" fontId="2" fillId="3" borderId="1" xfId="0" applyNumberFormat="1" applyFont="1" applyFill="1" applyBorder="1" applyAlignment="1">
      <alignment horizontal="center" vertical="top"/>
    </xf>
    <xf numFmtId="40" fontId="2" fillId="4" borderId="1" xfId="0" applyNumberFormat="1" applyFont="1" applyFill="1" applyBorder="1" applyAlignment="1">
      <alignment horizontal="center" vertical="top"/>
    </xf>
    <xf numFmtId="40" fontId="2" fillId="5" borderId="1" xfId="0" applyNumberFormat="1" applyFont="1" applyFill="1" applyBorder="1" applyAlignment="1">
      <alignment horizontal="center" vertical="top"/>
    </xf>
    <xf numFmtId="0" fontId="4" fillId="0" borderId="6" xfId="0" applyFont="1"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0" borderId="0" xfId="0" applyFont="1" applyBorder="1" applyAlignment="1">
      <alignment horizontal="left"/>
    </xf>
  </cellXfs>
  <cellStyles count="4">
    <cellStyle name="Comma" xfId="1" builtinId="3"/>
    <cellStyle name="Normal" xfId="0" builtinId="0"/>
    <cellStyle name="จุลภาค 2" xfId="2"/>
    <cellStyle name="ปกติ 2" xfId="3"/>
  </cellStyles>
  <dxfs count="8">
    <dxf>
      <fill>
        <patternFill>
          <bgColor rgb="FF92D050"/>
        </patternFill>
      </fill>
    </dxf>
    <dxf>
      <fill>
        <patternFill>
          <bgColor rgb="FFC00000"/>
        </patternFill>
      </fill>
    </dxf>
    <dxf>
      <fill>
        <patternFill>
          <bgColor rgb="FFFFFF00"/>
        </patternFill>
      </fill>
    </dxf>
    <dxf>
      <fill>
        <patternFill>
          <bgColor rgb="FF00FF00"/>
        </patternFill>
      </fill>
    </dxf>
    <dxf>
      <fill>
        <patternFill>
          <bgColor rgb="FF92D050"/>
        </patternFill>
      </fill>
    </dxf>
    <dxf>
      <fill>
        <patternFill>
          <bgColor rgb="FFC00000"/>
        </patternFill>
      </fill>
    </dxf>
    <dxf>
      <fill>
        <patternFill>
          <bgColor rgb="FFFFFF00"/>
        </patternFill>
      </fill>
    </dxf>
    <dxf>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WorkSheetPlanfin2563%20&#3619;&#3629;&#3610;%202%20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623;&#3636;&#3648;&#3588;&#3619;&#3634;&#3632;&#3627;&#3660;%208%20&#3649;&#3610;&#3610;%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คำแนะนำ"/>
      <sheetName val="ID"/>
      <sheetName val="Planfin2563"/>
      <sheetName val="2562"/>
      <sheetName val="Revenue"/>
      <sheetName val="Expense"/>
      <sheetName val="การวิเคราะห์แผน 8 แบบ"/>
      <sheetName val="Mapping"/>
      <sheetName val="งบทดลอง รพ."/>
      <sheetName val="1.WS-Re-Exp"/>
      <sheetName val="2.WS-ยา วชภฯ"/>
      <sheetName val="3.WS-วัสดุอื่น"/>
      <sheetName val="4.WS-แผนเจ้าหนี้การค้า"/>
      <sheetName val="5.WS-แผนบริหารจัดการลูกหนี้"/>
      <sheetName val="6.WS-แผนลงทุน"/>
      <sheetName val="7.WS-แผนสนับสนุน รพ.สต."/>
      <sheetName val="2559"/>
      <sheetName val="2560"/>
      <sheetName val="2561"/>
      <sheetName val="PlanFin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นครนายก"/>
      <sheetName val="นนทบุรี"/>
      <sheetName val="ปทุมธานี"/>
      <sheetName val="อยุธยา"/>
      <sheetName val="ลพบุรี"/>
      <sheetName val="สระบุรี"/>
      <sheetName val="สิงห์บุรี"/>
      <sheetName val="อ่างทอง"/>
    </sheetNames>
    <sheetDataSet>
      <sheetData sheetId="0"/>
      <sheetData sheetId="1"/>
      <sheetData sheetId="2"/>
      <sheetData sheetId="3"/>
      <sheetData sheetId="4"/>
      <sheetData sheetId="5"/>
      <sheetData sheetId="6"/>
      <sheetData sheetId="7">
        <row r="2">
          <cell r="C2">
            <v>695509587.13</v>
          </cell>
          <cell r="D2">
            <v>76246828.120000005</v>
          </cell>
          <cell r="E2">
            <v>99459784.900000006</v>
          </cell>
          <cell r="F2">
            <v>151423451.03</v>
          </cell>
          <cell r="G2">
            <v>86512200</v>
          </cell>
          <cell r="H2">
            <v>185428057.18000001</v>
          </cell>
          <cell r="I2">
            <v>63080000</v>
          </cell>
        </row>
        <row r="3">
          <cell r="C3">
            <v>654643120</v>
          </cell>
          <cell r="D3">
            <v>74570431</v>
          </cell>
          <cell r="E3">
            <v>96487851.129999995</v>
          </cell>
          <cell r="F3">
            <v>142662340</v>
          </cell>
          <cell r="G3">
            <v>86300205</v>
          </cell>
          <cell r="H3">
            <v>185109270.76999998</v>
          </cell>
          <cell r="I3">
            <v>62130000</v>
          </cell>
        </row>
        <row r="7">
          <cell r="C7">
            <v>0</v>
          </cell>
          <cell r="D7">
            <v>140900</v>
          </cell>
          <cell r="E7">
            <v>22591.51</v>
          </cell>
          <cell r="F7">
            <v>8704230</v>
          </cell>
          <cell r="G7">
            <v>850000</v>
          </cell>
          <cell r="H7">
            <v>0</v>
          </cell>
          <cell r="I7">
            <v>190000</v>
          </cell>
        </row>
      </sheetData>
    </sheetDataSet>
  </externalBook>
</externalLink>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workbookViewId="0">
      <pane xSplit="1" ySplit="4" topLeftCell="B5" activePane="bottomRight" state="frozen"/>
      <selection pane="topRight" activeCell="B1" sqref="B1"/>
      <selection pane="bottomLeft" activeCell="A5" sqref="A5"/>
      <selection pane="bottomRight" activeCell="F5" sqref="F5"/>
    </sheetView>
  </sheetViews>
  <sheetFormatPr defaultRowHeight="24" x14ac:dyDescent="0.55000000000000004"/>
  <cols>
    <col min="1" max="1" width="13.625" style="1" customWidth="1"/>
    <col min="2" max="2" width="9.625" style="3" customWidth="1"/>
    <col min="3" max="3" width="17.125" style="1" customWidth="1"/>
    <col min="4" max="4" width="19.375" style="1" customWidth="1"/>
    <col min="5" max="5" width="15.75" style="1" customWidth="1"/>
    <col min="6" max="6" width="16.125" style="1" customWidth="1"/>
    <col min="7" max="7" width="14.125" style="1" customWidth="1"/>
    <col min="8" max="8" width="16.25" style="1" customWidth="1"/>
    <col min="9" max="9" width="11" style="1" customWidth="1"/>
    <col min="10" max="10" width="18.25" style="1" customWidth="1"/>
    <col min="11" max="11" width="11.625" style="1" customWidth="1"/>
    <col min="12" max="13" width="14.125" style="1" customWidth="1"/>
    <col min="14" max="16384" width="9" style="1"/>
  </cols>
  <sheetData>
    <row r="1" spans="1:11" ht="27.75" x14ac:dyDescent="0.65">
      <c r="A1" s="102" t="s">
        <v>79</v>
      </c>
      <c r="B1" s="102"/>
      <c r="C1" s="102"/>
      <c r="D1" s="102"/>
      <c r="E1" s="102"/>
      <c r="F1" s="102"/>
      <c r="G1" s="102"/>
      <c r="H1" s="102"/>
      <c r="I1" s="102"/>
      <c r="J1" s="102"/>
      <c r="K1" s="102"/>
    </row>
    <row r="2" spans="1:11" ht="62.25" customHeight="1" x14ac:dyDescent="0.55000000000000004">
      <c r="A2" s="103" t="s">
        <v>0</v>
      </c>
      <c r="B2" s="103" t="s">
        <v>25</v>
      </c>
      <c r="C2" s="106" t="s">
        <v>1</v>
      </c>
      <c r="D2" s="106" t="s">
        <v>2</v>
      </c>
      <c r="E2" s="106" t="s">
        <v>3</v>
      </c>
      <c r="F2" s="103" t="s">
        <v>8</v>
      </c>
      <c r="G2" s="103" t="s">
        <v>76</v>
      </c>
      <c r="H2" s="106" t="s">
        <v>4</v>
      </c>
      <c r="I2" s="106" t="s">
        <v>7</v>
      </c>
      <c r="J2" s="106"/>
      <c r="K2" s="106"/>
    </row>
    <row r="3" spans="1:11" x14ac:dyDescent="0.55000000000000004">
      <c r="A3" s="104"/>
      <c r="B3" s="104"/>
      <c r="C3" s="106"/>
      <c r="D3" s="106"/>
      <c r="E3" s="106"/>
      <c r="F3" s="105"/>
      <c r="G3" s="105"/>
      <c r="H3" s="106"/>
      <c r="I3" s="107" t="s">
        <v>5</v>
      </c>
      <c r="J3" s="107" t="s">
        <v>6</v>
      </c>
      <c r="K3" s="107" t="s">
        <v>26</v>
      </c>
    </row>
    <row r="4" spans="1:11" x14ac:dyDescent="0.55000000000000004">
      <c r="A4" s="105"/>
      <c r="B4" s="105"/>
      <c r="C4" s="5" t="s">
        <v>9</v>
      </c>
      <c r="D4" s="5" t="s">
        <v>10</v>
      </c>
      <c r="E4" s="5" t="s">
        <v>13</v>
      </c>
      <c r="F4" s="5" t="s">
        <v>14</v>
      </c>
      <c r="G4" s="5" t="s">
        <v>11</v>
      </c>
      <c r="H4" s="5" t="s">
        <v>15</v>
      </c>
      <c r="I4" s="107"/>
      <c r="J4" s="107"/>
      <c r="K4" s="107"/>
    </row>
    <row r="5" spans="1:11" x14ac:dyDescent="0.55000000000000004">
      <c r="A5" s="92" t="s">
        <v>16</v>
      </c>
      <c r="B5" s="93">
        <v>4</v>
      </c>
      <c r="C5" s="94">
        <f>นครนายก!B10</f>
        <v>1053640397.97</v>
      </c>
      <c r="D5" s="94">
        <f>นครนายก!C10</f>
        <v>1021996175.0400001</v>
      </c>
      <c r="E5" s="94">
        <f>นครนายก!D10</f>
        <v>31644222.929999948</v>
      </c>
      <c r="F5" s="94">
        <f>นครนายก!E10</f>
        <v>6328844.5859999899</v>
      </c>
      <c r="G5" s="94">
        <f>นครนายก!F10</f>
        <v>3287174.15</v>
      </c>
      <c r="H5" s="94">
        <f>นครนายก!G10</f>
        <v>3041670.43599999</v>
      </c>
      <c r="I5" s="95">
        <v>4</v>
      </c>
      <c r="J5" s="95" t="s">
        <v>121</v>
      </c>
      <c r="K5" s="95" t="s">
        <v>121</v>
      </c>
    </row>
    <row r="6" spans="1:11" x14ac:dyDescent="0.55000000000000004">
      <c r="A6" s="92" t="s">
        <v>17</v>
      </c>
      <c r="B6" s="93">
        <v>7</v>
      </c>
      <c r="C6" s="94">
        <f>นนทบุรี!B13</f>
        <v>3399655379.9300003</v>
      </c>
      <c r="D6" s="94">
        <f>นนทบุรี!C13</f>
        <v>3065390814.5199995</v>
      </c>
      <c r="E6" s="94">
        <f>นนทบุรี!D13</f>
        <v>334264565.4100008</v>
      </c>
      <c r="F6" s="94">
        <f>นนทบุรี!E13</f>
        <v>66852913.082000166</v>
      </c>
      <c r="G6" s="94">
        <f>นนทบุรี!F13</f>
        <v>92288176.960000008</v>
      </c>
      <c r="H6" s="94">
        <f>นนทบุรี!G13</f>
        <v>-25435263.877999842</v>
      </c>
      <c r="I6" s="95">
        <v>7</v>
      </c>
      <c r="J6" s="95" t="s">
        <v>121</v>
      </c>
      <c r="K6" s="95" t="s">
        <v>121</v>
      </c>
    </row>
    <row r="7" spans="1:11" ht="48" x14ac:dyDescent="0.55000000000000004">
      <c r="A7" s="92" t="s">
        <v>18</v>
      </c>
      <c r="B7" s="93">
        <v>8</v>
      </c>
      <c r="C7" s="94">
        <f>ปทุมธานี!B14</f>
        <v>2079571215</v>
      </c>
      <c r="D7" s="94">
        <f>ปทุมธานี!C14</f>
        <v>2026752454</v>
      </c>
      <c r="E7" s="94">
        <f>ปทุมธานี!D14</f>
        <v>52818761</v>
      </c>
      <c r="F7" s="94">
        <f>ปทุมธานี!E14</f>
        <v>10563752.200000001</v>
      </c>
      <c r="G7" s="94">
        <f>ปทุมธานี!F14</f>
        <v>35801000</v>
      </c>
      <c r="H7" s="94">
        <f>ปทุมธานี!G14</f>
        <v>-25237247.799999997</v>
      </c>
      <c r="I7" s="95">
        <v>7</v>
      </c>
      <c r="J7" s="96" t="s">
        <v>135</v>
      </c>
      <c r="K7" s="95" t="s">
        <v>121</v>
      </c>
    </row>
    <row r="8" spans="1:11" x14ac:dyDescent="0.55000000000000004">
      <c r="A8" s="92" t="s">
        <v>19</v>
      </c>
      <c r="B8" s="93">
        <v>16</v>
      </c>
      <c r="C8" s="94">
        <f>อยุธยา!B22</f>
        <v>3259774861.4699998</v>
      </c>
      <c r="D8" s="94">
        <f>อยุธยา!C22</f>
        <v>3164161169.8599997</v>
      </c>
      <c r="E8" s="94">
        <f>อยุธยา!D22</f>
        <v>95613691.610000134</v>
      </c>
      <c r="F8" s="94">
        <f>อยุธยา!E22</f>
        <v>19122738.322000027</v>
      </c>
      <c r="G8" s="94">
        <f>อยุธยา!F22</f>
        <v>21538320.48</v>
      </c>
      <c r="H8" s="94">
        <f>อยุธยา!G22</f>
        <v>-2415582.1579999737</v>
      </c>
      <c r="I8" s="95">
        <v>16</v>
      </c>
      <c r="J8" s="95" t="s">
        <v>121</v>
      </c>
      <c r="K8" s="95" t="s">
        <v>121</v>
      </c>
    </row>
    <row r="9" spans="1:11" x14ac:dyDescent="0.55000000000000004">
      <c r="A9" s="92" t="s">
        <v>20</v>
      </c>
      <c r="B9" s="93">
        <v>11</v>
      </c>
      <c r="C9" s="94">
        <f>ลพบุรี!B17</f>
        <v>2863913281.4900002</v>
      </c>
      <c r="D9" s="94">
        <f>ลพบุรี!C17</f>
        <v>2673354906.23</v>
      </c>
      <c r="E9" s="94">
        <f>ลพบุรี!D17</f>
        <v>190558375.26000023</v>
      </c>
      <c r="F9" s="94">
        <f>ลพบุรี!E17</f>
        <v>38111675.052000046</v>
      </c>
      <c r="G9" s="94">
        <f>ลพบุรี!F17</f>
        <v>30979621</v>
      </c>
      <c r="H9" s="94">
        <f>ลพบุรี!G17</f>
        <v>7132054.0520000458</v>
      </c>
      <c r="I9" s="95">
        <v>10</v>
      </c>
      <c r="J9" s="95" t="s">
        <v>121</v>
      </c>
      <c r="K9" s="95">
        <v>1</v>
      </c>
    </row>
    <row r="10" spans="1:11" ht="76.5" customHeight="1" x14ac:dyDescent="0.55000000000000004">
      <c r="A10" s="92" t="s">
        <v>21</v>
      </c>
      <c r="B10" s="93">
        <v>12</v>
      </c>
      <c r="C10" s="94">
        <f>สระบุรี!B18</f>
        <v>3816817311.8099999</v>
      </c>
      <c r="D10" s="94">
        <f>สระบุรี!C18</f>
        <v>3542604879.8600001</v>
      </c>
      <c r="E10" s="94">
        <f>สระบุรี!D18</f>
        <v>274212431.94999981</v>
      </c>
      <c r="F10" s="94">
        <f>สระบุรี!E18</f>
        <v>54842486.389999963</v>
      </c>
      <c r="G10" s="94">
        <f>สระบุรี!F18</f>
        <v>18928855</v>
      </c>
      <c r="H10" s="94">
        <f>สระบุรี!G18</f>
        <v>35913631.389999963</v>
      </c>
      <c r="I10" s="95">
        <v>11</v>
      </c>
      <c r="J10" s="96" t="s">
        <v>136</v>
      </c>
      <c r="K10" s="95" t="s">
        <v>121</v>
      </c>
    </row>
    <row r="11" spans="1:11" ht="80.25" customHeight="1" x14ac:dyDescent="0.55000000000000004">
      <c r="A11" s="92" t="s">
        <v>22</v>
      </c>
      <c r="B11" s="93">
        <v>6</v>
      </c>
      <c r="C11" s="94">
        <f>สิงห์บุรี!B12</f>
        <v>1276132545.7299998</v>
      </c>
      <c r="D11" s="94">
        <f>สิงห์บุรี!C12</f>
        <v>1269284139.74</v>
      </c>
      <c r="E11" s="94">
        <f>สิงห์บุรี!D12</f>
        <v>6848405.9899997711</v>
      </c>
      <c r="F11" s="94">
        <f>สิงห์บุรี!E12</f>
        <v>1369681.2</v>
      </c>
      <c r="G11" s="94">
        <f>สิงห์บุรี!F12</f>
        <v>4866707.63</v>
      </c>
      <c r="H11" s="94">
        <f>สิงห์บุรี!G12</f>
        <v>-3497026.4299999997</v>
      </c>
      <c r="I11" s="95">
        <v>4</v>
      </c>
      <c r="J11" s="96" t="s">
        <v>137</v>
      </c>
      <c r="K11" s="95" t="s">
        <v>121</v>
      </c>
    </row>
    <row r="12" spans="1:11" x14ac:dyDescent="0.55000000000000004">
      <c r="A12" s="92" t="s">
        <v>23</v>
      </c>
      <c r="B12" s="93">
        <v>7</v>
      </c>
      <c r="C12" s="94">
        <f>อ่างทอง!B13</f>
        <v>1357659908.3599999</v>
      </c>
      <c r="D12" s="94">
        <f>อ่างทอง!C13</f>
        <v>1301903217.9000001</v>
      </c>
      <c r="E12" s="94">
        <f>อ่างทอง!D13</f>
        <v>55756690.4599998</v>
      </c>
      <c r="F12" s="94">
        <f>อ่างทอง!E13</f>
        <v>11151338.091999961</v>
      </c>
      <c r="G12" s="94">
        <f>อ่างทอง!F13</f>
        <v>9907721.5099999998</v>
      </c>
      <c r="H12" s="94">
        <f>อ่างทอง!G13</f>
        <v>1243616.5819999613</v>
      </c>
      <c r="I12" s="95">
        <v>7</v>
      </c>
      <c r="J12" s="95" t="s">
        <v>121</v>
      </c>
      <c r="K12" s="95" t="s">
        <v>121</v>
      </c>
    </row>
    <row r="13" spans="1:11" x14ac:dyDescent="0.55000000000000004">
      <c r="A13" s="93" t="s">
        <v>24</v>
      </c>
      <c r="B13" s="93">
        <f>SUM(B5:B12)</f>
        <v>71</v>
      </c>
      <c r="C13" s="97">
        <f>SUM(C5:C12)</f>
        <v>19107164901.760002</v>
      </c>
      <c r="D13" s="97">
        <f t="shared" ref="D13:H13" si="0">SUM(D5:D12)</f>
        <v>18065447757.149998</v>
      </c>
      <c r="E13" s="97">
        <f t="shared" si="0"/>
        <v>1041717144.6100005</v>
      </c>
      <c r="F13" s="97">
        <f t="shared" si="0"/>
        <v>208343428.92400011</v>
      </c>
      <c r="G13" s="97">
        <f t="shared" si="0"/>
        <v>217597576.72999999</v>
      </c>
      <c r="H13" s="97">
        <f t="shared" si="0"/>
        <v>-9254147.8059998564</v>
      </c>
      <c r="I13" s="98">
        <f>SUM(I5:I12)</f>
        <v>66</v>
      </c>
      <c r="J13" s="98">
        <v>4</v>
      </c>
      <c r="K13" s="98">
        <f t="shared" ref="K13" si="1">SUM(K5:K12)</f>
        <v>1</v>
      </c>
    </row>
    <row r="15" spans="1:11" x14ac:dyDescent="0.55000000000000004">
      <c r="G15" s="7"/>
    </row>
    <row r="16" spans="1:11" x14ac:dyDescent="0.55000000000000004">
      <c r="G16" s="7"/>
    </row>
    <row r="17" spans="7:7" s="1" customFormat="1" x14ac:dyDescent="0.55000000000000004">
      <c r="G17" s="7"/>
    </row>
    <row r="18" spans="7:7" x14ac:dyDescent="0.55000000000000004">
      <c r="G18" s="7"/>
    </row>
  </sheetData>
  <mergeCells count="13">
    <mergeCell ref="A1:K1"/>
    <mergeCell ref="B2:B4"/>
    <mergeCell ref="C2:C3"/>
    <mergeCell ref="D2:D3"/>
    <mergeCell ref="E2:E3"/>
    <mergeCell ref="H2:H3"/>
    <mergeCell ref="F2:F3"/>
    <mergeCell ref="G2:G3"/>
    <mergeCell ref="A2:A4"/>
    <mergeCell ref="I2:K2"/>
    <mergeCell ref="I3:I4"/>
    <mergeCell ref="J3:J4"/>
    <mergeCell ref="K3:K4"/>
  </mergeCells>
  <pageMargins left="0.38" right="0.2"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9"/>
  <sheetViews>
    <sheetView zoomScaleNormal="100" workbookViewId="0">
      <pane xSplit="1" ySplit="1" topLeftCell="B2" activePane="bottomRight" state="frozen"/>
      <selection pane="topRight" activeCell="B1" sqref="B1"/>
      <selection pane="bottomLeft" activeCell="A2" sqref="A2"/>
      <selection pane="bottomRight" activeCell="C8" sqref="C8"/>
    </sheetView>
  </sheetViews>
  <sheetFormatPr defaultRowHeight="24" x14ac:dyDescent="0.55000000000000004"/>
  <cols>
    <col min="1" max="1" width="13.625" style="1" customWidth="1"/>
    <col min="2" max="2" width="17.125" style="1" customWidth="1"/>
    <col min="3" max="3" width="19.375" style="1" customWidth="1"/>
    <col min="4" max="4" width="15.75" style="1" customWidth="1"/>
    <col min="5" max="5" width="16.125" style="1" customWidth="1"/>
    <col min="6" max="6" width="14.125" style="1" customWidth="1"/>
    <col min="7" max="7" width="16.25" style="1" customWidth="1"/>
    <col min="8" max="8" width="11.625" style="1" customWidth="1"/>
    <col min="9" max="9" width="7.25" style="1" customWidth="1"/>
    <col min="10" max="10" width="29.75" style="1" customWidth="1"/>
    <col min="11" max="11" width="12.625" style="1" customWidth="1"/>
    <col min="12" max="12" width="49.875" style="1" customWidth="1"/>
    <col min="13" max="13" width="9.875" style="3" customWidth="1"/>
    <col min="14" max="16384" width="9" style="1"/>
  </cols>
  <sheetData>
    <row r="1" spans="1:13" ht="27.75" x14ac:dyDescent="0.65">
      <c r="A1" s="111" t="s">
        <v>79</v>
      </c>
      <c r="B1" s="111"/>
      <c r="C1" s="111"/>
      <c r="D1" s="111"/>
      <c r="E1" s="111"/>
      <c r="F1" s="111"/>
      <c r="G1" s="111"/>
      <c r="H1" s="111"/>
      <c r="I1" s="111"/>
    </row>
    <row r="2" spans="1:13" ht="27.75" x14ac:dyDescent="0.65">
      <c r="A2" s="12" t="s">
        <v>43</v>
      </c>
      <c r="B2" s="14"/>
      <c r="C2" s="14"/>
      <c r="D2" s="14"/>
      <c r="E2" s="15"/>
      <c r="F2" s="15"/>
      <c r="G2" s="14"/>
      <c r="H2" s="14"/>
      <c r="I2" s="23"/>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6" t="s">
        <v>12</v>
      </c>
      <c r="I5" s="105"/>
      <c r="J5" s="107"/>
      <c r="K5" s="110"/>
      <c r="L5" s="105"/>
      <c r="M5" s="105"/>
    </row>
    <row r="6" spans="1:13" x14ac:dyDescent="0.55000000000000004">
      <c r="A6" s="19" t="s">
        <v>44</v>
      </c>
      <c r="B6" s="65">
        <f>720920000-17420000</f>
        <v>703500000</v>
      </c>
      <c r="C6" s="65">
        <f>719135000-37120000</f>
        <v>682015000</v>
      </c>
      <c r="D6" s="21">
        <f>B6-C6</f>
        <v>21485000</v>
      </c>
      <c r="E6" s="21">
        <f>D6*20%</f>
        <v>4297000</v>
      </c>
      <c r="F6" s="66">
        <v>2900000</v>
      </c>
      <c r="G6" s="21">
        <f>E6-F6</f>
        <v>1397000</v>
      </c>
      <c r="H6" s="49" t="str">
        <f>IF(D6&gt;0,"เกินดุล",IF(D6=0,"สมดุล","ขาดดุล"))</f>
        <v>เกินดุล</v>
      </c>
      <c r="I6" s="57">
        <v>2</v>
      </c>
      <c r="J6" s="69" t="s">
        <v>82</v>
      </c>
      <c r="K6" s="62" t="str">
        <f t="shared" ref="K6:K9" si="0">IF(G6&gt;=0,"ไม่เกิน","เกิน")</f>
        <v>ไม่เกิน</v>
      </c>
      <c r="L6" s="25" t="s">
        <v>89</v>
      </c>
      <c r="M6" s="24">
        <v>2</v>
      </c>
    </row>
    <row r="7" spans="1:13" x14ac:dyDescent="0.55000000000000004">
      <c r="A7" s="19" t="s">
        <v>83</v>
      </c>
      <c r="B7" s="65">
        <f>79011100-2885100</f>
        <v>76126000</v>
      </c>
      <c r="C7" s="65">
        <f>78751000-6195000</f>
        <v>72556000</v>
      </c>
      <c r="D7" s="21">
        <f t="shared" ref="D7:D9" si="1">B7-C7</f>
        <v>3570000</v>
      </c>
      <c r="E7" s="21">
        <f t="shared" ref="E7:E9" si="2">D7*20%</f>
        <v>714000</v>
      </c>
      <c r="F7" s="66">
        <v>382890.22</v>
      </c>
      <c r="G7" s="21">
        <f t="shared" ref="G7:G9" si="3">E7-F7</f>
        <v>331109.78000000003</v>
      </c>
      <c r="H7" s="49" t="str">
        <f t="shared" ref="H7:H9" si="4">IF(D7&gt;0,"เกินดุล",IF(D7=0,"สมดุล","ขาดดุล"))</f>
        <v>เกินดุล</v>
      </c>
      <c r="I7" s="57">
        <v>1</v>
      </c>
      <c r="J7" s="69" t="s">
        <v>81</v>
      </c>
      <c r="K7" s="62" t="str">
        <f t="shared" si="0"/>
        <v>ไม่เกิน</v>
      </c>
      <c r="L7" s="25" t="s">
        <v>89</v>
      </c>
      <c r="M7" s="24">
        <v>0</v>
      </c>
    </row>
    <row r="8" spans="1:13" x14ac:dyDescent="0.55000000000000004">
      <c r="A8" s="19" t="s">
        <v>84</v>
      </c>
      <c r="B8" s="65">
        <f>169178169-11658766.07</f>
        <v>157519402.93000001</v>
      </c>
      <c r="C8" s="65">
        <f>168767532.88-11449482.17</f>
        <v>157318050.71000001</v>
      </c>
      <c r="D8" s="21">
        <f t="shared" si="1"/>
        <v>201352.21999999881</v>
      </c>
      <c r="E8" s="21">
        <f t="shared" si="2"/>
        <v>40270.443999999763</v>
      </c>
      <c r="F8" s="66">
        <v>4283.93</v>
      </c>
      <c r="G8" s="21">
        <f t="shared" si="3"/>
        <v>35986.513999999763</v>
      </c>
      <c r="H8" s="49" t="str">
        <f t="shared" si="4"/>
        <v>เกินดุล</v>
      </c>
      <c r="I8" s="57">
        <v>2</v>
      </c>
      <c r="J8" s="69" t="s">
        <v>82</v>
      </c>
      <c r="K8" s="62" t="str">
        <f t="shared" si="0"/>
        <v>ไม่เกิน</v>
      </c>
      <c r="L8" s="25" t="s">
        <v>89</v>
      </c>
      <c r="M8" s="24">
        <v>1</v>
      </c>
    </row>
    <row r="9" spans="1:13" x14ac:dyDescent="0.55000000000000004">
      <c r="A9" s="19" t="s">
        <v>85</v>
      </c>
      <c r="B9" s="65">
        <f>119817778.09-3322783.05</f>
        <v>116494995.04000001</v>
      </c>
      <c r="C9" s="65">
        <f>121178060.81-11070936.48</f>
        <v>110107124.33</v>
      </c>
      <c r="D9" s="21">
        <f t="shared" si="1"/>
        <v>6387870.7100000083</v>
      </c>
      <c r="E9" s="21">
        <f t="shared" si="2"/>
        <v>1277574.1420000019</v>
      </c>
      <c r="F9" s="53">
        <v>0</v>
      </c>
      <c r="G9" s="21">
        <f t="shared" si="3"/>
        <v>1277574.1420000019</v>
      </c>
      <c r="H9" s="49" t="str">
        <f t="shared" si="4"/>
        <v>เกินดุล</v>
      </c>
      <c r="I9" s="57">
        <v>2</v>
      </c>
      <c r="J9" s="69" t="s">
        <v>82</v>
      </c>
      <c r="K9" s="62" t="str">
        <f t="shared" si="0"/>
        <v>ไม่เกิน</v>
      </c>
      <c r="L9" s="25" t="s">
        <v>89</v>
      </c>
      <c r="M9" s="24">
        <v>0</v>
      </c>
    </row>
    <row r="10" spans="1:13" x14ac:dyDescent="0.55000000000000004">
      <c r="A10" s="25" t="s">
        <v>24</v>
      </c>
      <c r="B10" s="26">
        <f t="shared" ref="B10:F10" si="5">SUM(B6:B9)</f>
        <v>1053640397.97</v>
      </c>
      <c r="C10" s="26">
        <f t="shared" si="5"/>
        <v>1021996175.0400001</v>
      </c>
      <c r="D10" s="26">
        <f>B10-C10</f>
        <v>31644222.929999948</v>
      </c>
      <c r="E10" s="26">
        <f>D10*20%</f>
        <v>6328844.5859999899</v>
      </c>
      <c r="F10" s="26">
        <f t="shared" si="5"/>
        <v>3287174.15</v>
      </c>
      <c r="G10" s="26">
        <f>E10-F10</f>
        <v>3041670.43599999</v>
      </c>
      <c r="H10" s="29"/>
      <c r="I10" s="29"/>
      <c r="J10" s="30"/>
      <c r="K10" s="30"/>
      <c r="L10" s="27"/>
      <c r="M10" s="31"/>
    </row>
    <row r="11" spans="1:13" x14ac:dyDescent="0.55000000000000004">
      <c r="A11" s="27"/>
      <c r="B11" s="27"/>
      <c r="C11" s="27"/>
      <c r="D11" s="27"/>
      <c r="E11" s="27"/>
      <c r="F11" s="27"/>
      <c r="G11" s="27"/>
      <c r="H11" s="27"/>
      <c r="I11" s="29"/>
      <c r="J11" s="30"/>
      <c r="K11" s="30"/>
      <c r="L11" s="27"/>
      <c r="M11" s="31"/>
    </row>
    <row r="16" spans="1:13" x14ac:dyDescent="0.55000000000000004">
      <c r="J16" s="67"/>
    </row>
    <row r="17" spans="10:10" x14ac:dyDescent="0.55000000000000004">
      <c r="J17" s="68"/>
    </row>
    <row r="18" spans="10:10" x14ac:dyDescent="0.55000000000000004">
      <c r="J18" s="68"/>
    </row>
    <row r="19" spans="10:10" x14ac:dyDescent="0.55000000000000004">
      <c r="J19" s="68"/>
    </row>
  </sheetData>
  <mergeCells count="14">
    <mergeCell ref="K3:K5"/>
    <mergeCell ref="L3:L5"/>
    <mergeCell ref="J3:J5"/>
    <mergeCell ref="M3:M5"/>
    <mergeCell ref="A1:I1"/>
    <mergeCell ref="A3:A5"/>
    <mergeCell ref="B3:B4"/>
    <mergeCell ref="C3:C4"/>
    <mergeCell ref="D3:D4"/>
    <mergeCell ref="E3:E4"/>
    <mergeCell ref="F3:F4"/>
    <mergeCell ref="G3:G4"/>
    <mergeCell ref="I3:I5"/>
    <mergeCell ref="H3:H4"/>
  </mergeCells>
  <conditionalFormatting sqref="J17">
    <cfRule type="containsText" dxfId="7" priority="5" operator="containsText" text="เกินดุล">
      <formula>NOT(ISERROR(SEARCH("เกินดุล",J17)))</formula>
    </cfRule>
    <cfRule type="containsText" dxfId="6" priority="6" operator="containsText" text="สมดุล">
      <formula>NOT(ISERROR(SEARCH("สมดุล",J17)))</formula>
    </cfRule>
    <cfRule type="containsText" dxfId="5" priority="7" operator="containsText" text="ขาดดุล">
      <formula>NOT(ISERROR(SEARCH("ขาดดุล",J17)))</formula>
    </cfRule>
    <cfRule type="containsText" dxfId="4" priority="8" operator="containsText" text="สมดุล">
      <formula>NOT(ISERROR(SEARCH("สมดุล",J17)))</formula>
    </cfRule>
  </conditionalFormatting>
  <conditionalFormatting sqref="J7">
    <cfRule type="containsText" dxfId="3" priority="1" operator="containsText" text="เกินดุล">
      <formula>NOT(ISERROR(SEARCH("เกินดุล",J7)))</formula>
    </cfRule>
    <cfRule type="containsText" dxfId="2" priority="2" operator="containsText" text="สมดุล">
      <formula>NOT(ISERROR(SEARCH("สมดุล",J7)))</formula>
    </cfRule>
    <cfRule type="containsText" dxfId="1" priority="3" operator="containsText" text="ขาดดุล">
      <formula>NOT(ISERROR(SEARCH("ขาดดุล",J7)))</formula>
    </cfRule>
    <cfRule type="containsText" dxfId="0" priority="4" operator="containsText" text="สมดุล">
      <formula>NOT(ISERROR(SEARCH("สมดุล",J7)))</formula>
    </cfRule>
  </conditionalFormatting>
  <pageMargins left="0.4" right="0.33"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3"/>
  <sheetViews>
    <sheetView zoomScaleNormal="100" workbookViewId="0">
      <pane xSplit="1" ySplit="1" topLeftCell="B5" activePane="bottomRight" state="frozen"/>
      <selection pane="topRight" activeCell="B1" sqref="B1"/>
      <selection pane="bottomLeft" activeCell="A2" sqref="A2"/>
      <selection pane="bottomRight" activeCell="F17" sqref="F17"/>
    </sheetView>
  </sheetViews>
  <sheetFormatPr defaultRowHeight="24" x14ac:dyDescent="0.55000000000000004"/>
  <cols>
    <col min="1" max="1" width="13.625" style="1" customWidth="1"/>
    <col min="2" max="2" width="17.125" style="1" customWidth="1"/>
    <col min="3" max="3" width="19.375" style="1" customWidth="1"/>
    <col min="4" max="4" width="15.75" style="1" customWidth="1"/>
    <col min="5" max="5" width="16.125" style="1" customWidth="1"/>
    <col min="6" max="6" width="19.625" style="1" customWidth="1"/>
    <col min="7" max="7" width="16.25" style="1" customWidth="1"/>
    <col min="8" max="8" width="11.625" style="1" customWidth="1"/>
    <col min="9" max="9" width="7.25" style="1" customWidth="1"/>
    <col min="10" max="10" width="28.625" style="1" customWidth="1"/>
    <col min="11" max="11" width="12.625" style="1" customWidth="1"/>
    <col min="12" max="12" width="51.5" style="1" customWidth="1"/>
    <col min="13" max="13" width="9.875" style="3" customWidth="1"/>
    <col min="14" max="16384" width="9" style="1"/>
  </cols>
  <sheetData>
    <row r="1" spans="1:13" ht="27.75" x14ac:dyDescent="0.65">
      <c r="A1" s="111" t="s">
        <v>79</v>
      </c>
      <c r="B1" s="111"/>
      <c r="C1" s="111"/>
      <c r="D1" s="111"/>
      <c r="E1" s="111"/>
      <c r="F1" s="111"/>
      <c r="G1" s="111"/>
      <c r="H1" s="111"/>
      <c r="I1" s="111"/>
    </row>
    <row r="2" spans="1:13" ht="27.75" x14ac:dyDescent="0.65">
      <c r="A2" s="12" t="s">
        <v>27</v>
      </c>
      <c r="B2" s="8"/>
      <c r="C2" s="8"/>
      <c r="D2" s="8"/>
      <c r="E2" s="10"/>
      <c r="F2" s="10"/>
      <c r="G2" s="8"/>
      <c r="H2" s="8"/>
      <c r="I2" s="10"/>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6" t="s">
        <v>12</v>
      </c>
      <c r="I5" s="105"/>
      <c r="J5" s="107"/>
      <c r="K5" s="110"/>
      <c r="L5" s="105"/>
      <c r="M5" s="105"/>
    </row>
    <row r="6" spans="1:13" x14ac:dyDescent="0.55000000000000004">
      <c r="A6" s="78" t="s">
        <v>29</v>
      </c>
      <c r="B6" s="65">
        <f>2127312452.11-105512452.11</f>
        <v>2021800000</v>
      </c>
      <c r="C6" s="65">
        <f>1977500000-150000000</f>
        <v>1827500000</v>
      </c>
      <c r="D6" s="21">
        <f>B6-C6</f>
        <v>194300000</v>
      </c>
      <c r="E6" s="21">
        <f>D6*20%</f>
        <v>38860000</v>
      </c>
      <c r="F6" s="66">
        <v>35000000</v>
      </c>
      <c r="G6" s="21">
        <f>E6-F6</f>
        <v>3860000</v>
      </c>
      <c r="H6" s="49" t="str">
        <f>IF(D6&gt;0,"เกินดุล",IF(D6=0,"สมดุล","ขาดดุล"))</f>
        <v>เกินดุล</v>
      </c>
      <c r="I6" s="24">
        <v>2</v>
      </c>
      <c r="J6" s="80" t="s">
        <v>82</v>
      </c>
      <c r="K6" s="62" t="str">
        <f>IF(G6&gt;=0,"ไม่เกิน","เกิน")</f>
        <v>ไม่เกิน</v>
      </c>
      <c r="L6" s="2" t="s">
        <v>89</v>
      </c>
      <c r="M6" s="24">
        <v>2</v>
      </c>
    </row>
    <row r="7" spans="1:13" x14ac:dyDescent="0.55000000000000004">
      <c r="A7" s="78" t="s">
        <v>30</v>
      </c>
      <c r="B7" s="65">
        <f>260570985.37-11711425.03</f>
        <v>248859560.34</v>
      </c>
      <c r="C7" s="65">
        <f>249895634.7-36977324.14</f>
        <v>212918310.56</v>
      </c>
      <c r="D7" s="21">
        <f t="shared" ref="D7:D12" si="0">B7-C7</f>
        <v>35941249.780000001</v>
      </c>
      <c r="E7" s="21">
        <f t="shared" ref="E7:E12" si="1">D7*20%</f>
        <v>7188249.9560000002</v>
      </c>
      <c r="F7" s="66">
        <v>7188249.96</v>
      </c>
      <c r="G7" s="21">
        <v>0</v>
      </c>
      <c r="H7" s="49" t="str">
        <f t="shared" ref="H7:H12" si="2">IF(D7&gt;0,"เกินดุล",IF(D7=0,"สมดุล","ขาดดุล"))</f>
        <v>เกินดุล</v>
      </c>
      <c r="I7" s="24">
        <v>1</v>
      </c>
      <c r="J7" s="80" t="s">
        <v>81</v>
      </c>
      <c r="K7" s="62" t="str">
        <f>IF(G7&gt;=0,"ไม่เกิน","เกิน")</f>
        <v>ไม่เกิน</v>
      </c>
      <c r="L7" s="2" t="s">
        <v>89</v>
      </c>
      <c r="M7" s="24">
        <v>0</v>
      </c>
    </row>
    <row r="8" spans="1:13" s="43" customFormat="1" ht="126" customHeight="1" x14ac:dyDescent="0.2">
      <c r="A8" s="78" t="s">
        <v>108</v>
      </c>
      <c r="B8" s="65">
        <f>303651396.51-5208369.4</f>
        <v>298443027.11000001</v>
      </c>
      <c r="C8" s="65">
        <f>303317343.72-17062639.6</f>
        <v>286254704.12</v>
      </c>
      <c r="D8" s="21">
        <f t="shared" si="0"/>
        <v>12188322.99000001</v>
      </c>
      <c r="E8" s="21">
        <f t="shared" si="1"/>
        <v>2437664.5980000021</v>
      </c>
      <c r="F8" s="66">
        <v>40351151</v>
      </c>
      <c r="G8" s="21">
        <f t="shared" ref="G8:G12" si="3">E8-F8</f>
        <v>-37913486.401999995</v>
      </c>
      <c r="H8" s="49" t="str">
        <f t="shared" si="2"/>
        <v>เกินดุล</v>
      </c>
      <c r="I8" s="24">
        <v>3</v>
      </c>
      <c r="J8" s="80" t="s">
        <v>87</v>
      </c>
      <c r="K8" s="61" t="str">
        <f t="shared" ref="K8:K12" si="4">IF(G8&gt;=0,"ไม่เกิน","เกิน")</f>
        <v>เกิน</v>
      </c>
      <c r="L8" s="87" t="s">
        <v>133</v>
      </c>
      <c r="M8" s="41">
        <v>0</v>
      </c>
    </row>
    <row r="9" spans="1:13" s="43" customFormat="1" ht="153" customHeight="1" x14ac:dyDescent="0.2">
      <c r="A9" s="78" t="s">
        <v>109</v>
      </c>
      <c r="B9" s="65">
        <f>283701089.46-11181651.14</f>
        <v>272519438.31999999</v>
      </c>
      <c r="C9" s="65">
        <f>282584699.17-33000000</f>
        <v>249584699.17000002</v>
      </c>
      <c r="D9" s="21">
        <f t="shared" si="0"/>
        <v>22934739.149999976</v>
      </c>
      <c r="E9" s="21">
        <f t="shared" si="1"/>
        <v>4586947.8299999954</v>
      </c>
      <c r="F9" s="66">
        <v>8501810</v>
      </c>
      <c r="G9" s="21">
        <f t="shared" si="3"/>
        <v>-3914862.1700000046</v>
      </c>
      <c r="H9" s="49" t="str">
        <f t="shared" si="2"/>
        <v>เกินดุล</v>
      </c>
      <c r="I9" s="24">
        <v>4</v>
      </c>
      <c r="J9" s="80" t="s">
        <v>80</v>
      </c>
      <c r="K9" s="61" t="str">
        <f t="shared" si="4"/>
        <v>เกิน</v>
      </c>
      <c r="L9" s="37" t="s">
        <v>134</v>
      </c>
      <c r="M9" s="41">
        <v>1</v>
      </c>
    </row>
    <row r="10" spans="1:13" s="39" customFormat="1" x14ac:dyDescent="0.55000000000000004">
      <c r="A10" s="78" t="s">
        <v>110</v>
      </c>
      <c r="B10" s="65">
        <f>189367810-4682960</f>
        <v>184684850</v>
      </c>
      <c r="C10" s="65">
        <f>189388815.39-14668580.21</f>
        <v>174720235.17999998</v>
      </c>
      <c r="D10" s="21">
        <f t="shared" si="0"/>
        <v>9964614.8200000226</v>
      </c>
      <c r="E10" s="21">
        <f t="shared" si="1"/>
        <v>1992922.9640000046</v>
      </c>
      <c r="F10" s="66">
        <v>792066</v>
      </c>
      <c r="G10" s="21">
        <f t="shared" si="3"/>
        <v>1200856.9640000046</v>
      </c>
      <c r="H10" s="49" t="str">
        <f t="shared" si="2"/>
        <v>เกินดุล</v>
      </c>
      <c r="I10" s="24">
        <v>2</v>
      </c>
      <c r="J10" s="80" t="s">
        <v>82</v>
      </c>
      <c r="K10" s="62" t="str">
        <f t="shared" si="4"/>
        <v>ไม่เกิน</v>
      </c>
      <c r="L10" s="2" t="s">
        <v>89</v>
      </c>
      <c r="M10" s="41">
        <v>1</v>
      </c>
    </row>
    <row r="11" spans="1:13" s="43" customFormat="1" x14ac:dyDescent="0.55000000000000004">
      <c r="A11" s="78" t="s">
        <v>31</v>
      </c>
      <c r="B11" s="65">
        <f>290119051.73-5498051.73</f>
        <v>284621000</v>
      </c>
      <c r="C11" s="65">
        <f>282256297.49-24000000</f>
        <v>258256297.49000001</v>
      </c>
      <c r="D11" s="21">
        <f t="shared" si="0"/>
        <v>26364702.50999999</v>
      </c>
      <c r="E11" s="21">
        <f t="shared" si="1"/>
        <v>5272940.5019999985</v>
      </c>
      <c r="F11" s="66">
        <f>SUM([1]Planfin2563!CL11)</f>
        <v>0</v>
      </c>
      <c r="G11" s="21">
        <f t="shared" si="3"/>
        <v>5272940.5019999985</v>
      </c>
      <c r="H11" s="49" t="str">
        <f t="shared" si="2"/>
        <v>เกินดุล</v>
      </c>
      <c r="I11" s="24">
        <v>1</v>
      </c>
      <c r="J11" s="80" t="s">
        <v>81</v>
      </c>
      <c r="K11" s="62" t="str">
        <f t="shared" si="4"/>
        <v>ไม่เกิน</v>
      </c>
      <c r="L11" s="2" t="s">
        <v>89</v>
      </c>
      <c r="M11" s="41">
        <v>0</v>
      </c>
    </row>
    <row r="12" spans="1:13" x14ac:dyDescent="0.55000000000000004">
      <c r="A12" s="78" t="s">
        <v>111</v>
      </c>
      <c r="B12" s="65">
        <f>89944530.93-1217026.77</f>
        <v>88727504.160000011</v>
      </c>
      <c r="C12" s="65">
        <f>67335070-11178502</f>
        <v>56156568</v>
      </c>
      <c r="D12" s="21">
        <f t="shared" si="0"/>
        <v>32570936.160000011</v>
      </c>
      <c r="E12" s="21">
        <f t="shared" si="1"/>
        <v>6514187.2320000026</v>
      </c>
      <c r="F12" s="66">
        <v>454900</v>
      </c>
      <c r="G12" s="21">
        <f t="shared" si="3"/>
        <v>6059287.2320000026</v>
      </c>
      <c r="H12" s="49" t="str">
        <f t="shared" si="2"/>
        <v>เกินดุล</v>
      </c>
      <c r="I12" s="24">
        <v>2</v>
      </c>
      <c r="J12" s="80" t="s">
        <v>82</v>
      </c>
      <c r="K12" s="62" t="str">
        <f t="shared" si="4"/>
        <v>ไม่เกิน</v>
      </c>
      <c r="L12" s="2" t="s">
        <v>89</v>
      </c>
      <c r="M12" s="32">
        <v>2</v>
      </c>
    </row>
    <row r="13" spans="1:13" x14ac:dyDescent="0.55000000000000004">
      <c r="A13" s="2" t="s">
        <v>24</v>
      </c>
      <c r="B13" s="26">
        <f t="shared" ref="B13:F13" si="5">SUM(B6:B12)</f>
        <v>3399655379.9300003</v>
      </c>
      <c r="C13" s="26">
        <f t="shared" si="5"/>
        <v>3065390814.5199995</v>
      </c>
      <c r="D13" s="26">
        <f>B13-C13</f>
        <v>334264565.4100008</v>
      </c>
      <c r="E13" s="26">
        <f>D13*20%</f>
        <v>66852913.082000166</v>
      </c>
      <c r="F13" s="26">
        <f t="shared" si="5"/>
        <v>92288176.960000008</v>
      </c>
      <c r="G13" s="26">
        <f>E13-F13</f>
        <v>-25435263.877999842</v>
      </c>
      <c r="H13" s="17"/>
      <c r="I13" s="17"/>
      <c r="J13" s="18"/>
      <c r="K13" s="30"/>
    </row>
    <row r="14" spans="1:13" x14ac:dyDescent="0.55000000000000004">
      <c r="K14" s="27"/>
    </row>
    <row r="15" spans="1:13" x14ac:dyDescent="0.55000000000000004">
      <c r="F15" s="7"/>
    </row>
    <row r="16" spans="1:13" x14ac:dyDescent="0.55000000000000004">
      <c r="E16" s="7"/>
      <c r="F16" s="7"/>
    </row>
    <row r="17" spans="5:9" x14ac:dyDescent="0.55000000000000004">
      <c r="E17" s="7"/>
    </row>
    <row r="23" spans="5:9" x14ac:dyDescent="0.55000000000000004">
      <c r="H23" s="3"/>
      <c r="I23" s="3"/>
    </row>
  </sheetData>
  <mergeCells count="14">
    <mergeCell ref="L3:L5"/>
    <mergeCell ref="M3:M5"/>
    <mergeCell ref="J3:J5"/>
    <mergeCell ref="I3:I5"/>
    <mergeCell ref="K3:K5"/>
    <mergeCell ref="A1:I1"/>
    <mergeCell ref="A3:A5"/>
    <mergeCell ref="B3:B4"/>
    <mergeCell ref="C3:C4"/>
    <mergeCell ref="D3:D4"/>
    <mergeCell ref="E3:E4"/>
    <mergeCell ref="F3:F4"/>
    <mergeCell ref="G3:G4"/>
    <mergeCell ref="H3:H4"/>
  </mergeCells>
  <pageMargins left="0.25" right="0.33"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6"/>
  <sheetViews>
    <sheetView zoomScaleNormal="100" workbookViewId="0">
      <pane xSplit="1" ySplit="1" topLeftCell="B2" activePane="bottomRight" state="frozen"/>
      <selection pane="topRight" activeCell="B1" sqref="B1"/>
      <selection pane="bottomLeft" activeCell="A2" sqref="A2"/>
      <selection pane="bottomRight" activeCell="E8" sqref="E8"/>
    </sheetView>
  </sheetViews>
  <sheetFormatPr defaultRowHeight="24" x14ac:dyDescent="0.55000000000000004"/>
  <cols>
    <col min="1" max="1" width="13.625" style="1" customWidth="1"/>
    <col min="2" max="2" width="17.125" style="1" customWidth="1"/>
    <col min="3" max="3" width="19.375" style="1" customWidth="1"/>
    <col min="4" max="4" width="15.75" style="1" customWidth="1"/>
    <col min="5" max="5" width="16.125" style="1" customWidth="1"/>
    <col min="6" max="6" width="14.875" style="1" customWidth="1"/>
    <col min="7" max="7" width="16.25" style="1" customWidth="1"/>
    <col min="8" max="8" width="11.625" style="1" customWidth="1"/>
    <col min="9" max="9" width="7.25" style="1" customWidth="1"/>
    <col min="10" max="10" width="28.625" style="1" customWidth="1"/>
    <col min="11" max="11" width="12.625" style="1" customWidth="1"/>
    <col min="12" max="12" width="53.5" style="1" customWidth="1"/>
    <col min="13" max="13" width="11.125" style="3" customWidth="1"/>
    <col min="14" max="16384" width="9" style="1"/>
  </cols>
  <sheetData>
    <row r="1" spans="1:13" ht="27.75" x14ac:dyDescent="0.65">
      <c r="A1" s="111" t="s">
        <v>79</v>
      </c>
      <c r="B1" s="111"/>
      <c r="C1" s="111"/>
      <c r="D1" s="111"/>
      <c r="E1" s="111"/>
      <c r="F1" s="111"/>
      <c r="G1" s="111"/>
      <c r="H1" s="111"/>
      <c r="I1" s="111"/>
    </row>
    <row r="2" spans="1:13" ht="27.75" x14ac:dyDescent="0.65">
      <c r="A2" s="12" t="s">
        <v>35</v>
      </c>
      <c r="B2" s="9"/>
      <c r="C2" s="9"/>
      <c r="D2" s="9"/>
      <c r="E2" s="11"/>
      <c r="F2" s="11"/>
      <c r="G2" s="9"/>
      <c r="H2" s="9"/>
      <c r="I2" s="23"/>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6" t="s">
        <v>12</v>
      </c>
      <c r="I5" s="105"/>
      <c r="J5" s="107"/>
      <c r="K5" s="110"/>
      <c r="L5" s="105"/>
      <c r="M5" s="105"/>
    </row>
    <row r="6" spans="1:13" x14ac:dyDescent="0.55000000000000004">
      <c r="A6" s="19" t="s">
        <v>36</v>
      </c>
      <c r="B6" s="65">
        <f>1382500000-277000000</f>
        <v>1105500000</v>
      </c>
      <c r="C6" s="65">
        <f>1151400000-86000000</f>
        <v>1065400000</v>
      </c>
      <c r="D6" s="21">
        <f>B6-C6</f>
        <v>40100000</v>
      </c>
      <c r="E6" s="21">
        <f>D6*20%</f>
        <v>8020000</v>
      </c>
      <c r="F6" s="66">
        <v>8000000</v>
      </c>
      <c r="G6" s="21">
        <f>E6-F6</f>
        <v>20000</v>
      </c>
      <c r="H6" s="49" t="str">
        <f>IF(D6&gt;0,"เกินดุล",IF(D6=0,"สมดุล","ขาดดุล"))</f>
        <v>เกินดุล</v>
      </c>
      <c r="I6" s="24">
        <v>1</v>
      </c>
      <c r="J6" s="70" t="s">
        <v>81</v>
      </c>
      <c r="K6" s="50" t="str">
        <f>IF(G6&gt;=0,"ไม่เกิน","เกิน")</f>
        <v>ไม่เกิน</v>
      </c>
      <c r="L6" s="72" t="s">
        <v>89</v>
      </c>
      <c r="M6" s="24">
        <v>0</v>
      </c>
    </row>
    <row r="7" spans="1:13" s="39" customFormat="1" x14ac:dyDescent="0.55000000000000004">
      <c r="A7" s="34" t="s">
        <v>37</v>
      </c>
      <c r="B7" s="65">
        <f>200050900-2790900</f>
        <v>197260000</v>
      </c>
      <c r="C7" s="65">
        <f>209341900-12128000</f>
        <v>197213900</v>
      </c>
      <c r="D7" s="21">
        <f t="shared" ref="D7:D13" si="0">B7-C7</f>
        <v>46100</v>
      </c>
      <c r="E7" s="21">
        <f t="shared" ref="E7:E13" si="1">D7*20%</f>
        <v>9220</v>
      </c>
      <c r="F7" s="66">
        <f>SUM([1]Planfin2563!CL7)</f>
        <v>0</v>
      </c>
      <c r="G7" s="21">
        <f t="shared" ref="G7:G13" si="2">E7-F7</f>
        <v>9220</v>
      </c>
      <c r="H7" s="49" t="str">
        <f t="shared" ref="H7:H13" si="3">IF(D7&gt;0,"เกินดุล",IF(D7=0,"สมดุล","ขาดดุล"))</f>
        <v>เกินดุล</v>
      </c>
      <c r="I7" s="24">
        <v>2</v>
      </c>
      <c r="J7" s="70" t="s">
        <v>82</v>
      </c>
      <c r="K7" s="62" t="str">
        <f t="shared" ref="K7:K13" si="4">IF(G7&gt;=0,"ไม่เกิน","เกิน")</f>
        <v>ไม่เกิน</v>
      </c>
      <c r="L7" s="63" t="s">
        <v>89</v>
      </c>
      <c r="M7" s="41">
        <v>1</v>
      </c>
    </row>
    <row r="8" spans="1:13" s="43" customFormat="1" ht="336" x14ac:dyDescent="0.2">
      <c r="A8" s="34" t="s">
        <v>38</v>
      </c>
      <c r="B8" s="65">
        <f>213474580-21823080</f>
        <v>191651500</v>
      </c>
      <c r="C8" s="65">
        <f>213237670-20000000</f>
        <v>193237670</v>
      </c>
      <c r="D8" s="21">
        <f t="shared" si="0"/>
        <v>-1586170</v>
      </c>
      <c r="E8" s="21">
        <v>0</v>
      </c>
      <c r="F8" s="66">
        <v>26113000</v>
      </c>
      <c r="G8" s="21">
        <f t="shared" si="2"/>
        <v>-26113000</v>
      </c>
      <c r="H8" s="99" t="str">
        <f t="shared" si="3"/>
        <v>ขาดดุล</v>
      </c>
      <c r="I8" s="71">
        <v>7</v>
      </c>
      <c r="J8" s="80" t="s">
        <v>86</v>
      </c>
      <c r="K8" s="61" t="str">
        <f t="shared" si="4"/>
        <v>เกิน</v>
      </c>
      <c r="L8" s="37" t="s">
        <v>141</v>
      </c>
      <c r="M8" s="41">
        <v>1</v>
      </c>
    </row>
    <row r="9" spans="1:13" x14ac:dyDescent="0.55000000000000004">
      <c r="A9" s="19" t="s">
        <v>39</v>
      </c>
      <c r="B9" s="65">
        <f>139802000-3000000</f>
        <v>136802000</v>
      </c>
      <c r="C9" s="65">
        <f>137203100-4764000</f>
        <v>132439100</v>
      </c>
      <c r="D9" s="21">
        <f t="shared" si="0"/>
        <v>4362900</v>
      </c>
      <c r="E9" s="21">
        <f t="shared" si="1"/>
        <v>872580</v>
      </c>
      <c r="F9" s="66">
        <f>SUM([1]Planfin2563!CL9)</f>
        <v>0</v>
      </c>
      <c r="G9" s="21">
        <f t="shared" si="2"/>
        <v>872580</v>
      </c>
      <c r="H9" s="49" t="str">
        <f t="shared" si="3"/>
        <v>เกินดุล</v>
      </c>
      <c r="I9" s="24">
        <v>1</v>
      </c>
      <c r="J9" s="70" t="s">
        <v>81</v>
      </c>
      <c r="K9" s="62" t="str">
        <f t="shared" si="4"/>
        <v>ไม่เกิน</v>
      </c>
      <c r="L9" s="63" t="s">
        <v>89</v>
      </c>
      <c r="M9" s="24">
        <v>0</v>
      </c>
    </row>
    <row r="10" spans="1:13" s="39" customFormat="1" x14ac:dyDescent="0.55000000000000004">
      <c r="A10" s="34" t="s">
        <v>91</v>
      </c>
      <c r="B10" s="65">
        <f>101800000-2100000</f>
        <v>99700000</v>
      </c>
      <c r="C10" s="65">
        <f>101560000-3700000</f>
        <v>97860000</v>
      </c>
      <c r="D10" s="21">
        <f t="shared" si="0"/>
        <v>1840000</v>
      </c>
      <c r="E10" s="21">
        <f t="shared" si="1"/>
        <v>368000</v>
      </c>
      <c r="F10" s="66">
        <v>300000</v>
      </c>
      <c r="G10" s="21">
        <f t="shared" si="2"/>
        <v>68000</v>
      </c>
      <c r="H10" s="49" t="str">
        <f t="shared" si="3"/>
        <v>เกินดุล</v>
      </c>
      <c r="I10" s="24">
        <v>2</v>
      </c>
      <c r="J10" s="70" t="s">
        <v>82</v>
      </c>
      <c r="K10" s="62" t="str">
        <f t="shared" si="4"/>
        <v>ไม่เกิน</v>
      </c>
      <c r="L10" s="63" t="s">
        <v>89</v>
      </c>
      <c r="M10" s="41">
        <v>0</v>
      </c>
    </row>
    <row r="11" spans="1:13" x14ac:dyDescent="0.55000000000000004">
      <c r="A11" s="19" t="s">
        <v>92</v>
      </c>
      <c r="B11" s="65">
        <f>111200308-1725193</f>
        <v>109475115</v>
      </c>
      <c r="C11" s="65">
        <f>113972700-4873842</f>
        <v>109098858</v>
      </c>
      <c r="D11" s="21">
        <f t="shared" si="0"/>
        <v>376257</v>
      </c>
      <c r="E11" s="21">
        <f t="shared" si="1"/>
        <v>75251.400000000009</v>
      </c>
      <c r="F11" s="66">
        <f>SUM([1]Planfin2563!CL11)</f>
        <v>0</v>
      </c>
      <c r="G11" s="21">
        <f t="shared" si="2"/>
        <v>75251.400000000009</v>
      </c>
      <c r="H11" s="49" t="str">
        <f t="shared" si="3"/>
        <v>เกินดุล</v>
      </c>
      <c r="I11" s="24">
        <v>1</v>
      </c>
      <c r="J11" s="70" t="s">
        <v>81</v>
      </c>
      <c r="K11" s="62" t="str">
        <f t="shared" si="4"/>
        <v>ไม่เกิน</v>
      </c>
      <c r="L11" s="63" t="s">
        <v>89</v>
      </c>
      <c r="M11" s="24">
        <v>1</v>
      </c>
    </row>
    <row r="12" spans="1:13" x14ac:dyDescent="0.55000000000000004">
      <c r="A12" s="19" t="s">
        <v>93</v>
      </c>
      <c r="B12" s="65">
        <f>165596290-2253690</f>
        <v>163342600</v>
      </c>
      <c r="C12" s="65">
        <f>168117826-9000000</f>
        <v>159117826</v>
      </c>
      <c r="D12" s="21">
        <f t="shared" si="0"/>
        <v>4224774</v>
      </c>
      <c r="E12" s="21">
        <f t="shared" si="1"/>
        <v>844954.8</v>
      </c>
      <c r="F12" s="66">
        <v>756000</v>
      </c>
      <c r="G12" s="21">
        <f t="shared" si="2"/>
        <v>88954.800000000047</v>
      </c>
      <c r="H12" s="49" t="str">
        <f t="shared" si="3"/>
        <v>เกินดุล</v>
      </c>
      <c r="I12" s="24">
        <v>1</v>
      </c>
      <c r="J12" s="70" t="s">
        <v>81</v>
      </c>
      <c r="K12" s="62" t="str">
        <f t="shared" si="4"/>
        <v>ไม่เกิน</v>
      </c>
      <c r="L12" s="63" t="s">
        <v>89</v>
      </c>
      <c r="M12" s="24">
        <v>0</v>
      </c>
    </row>
    <row r="13" spans="1:13" x14ac:dyDescent="0.55000000000000004">
      <c r="A13" s="19" t="s">
        <v>94</v>
      </c>
      <c r="B13" s="65">
        <f>77556123-1716123</f>
        <v>75840000</v>
      </c>
      <c r="C13" s="65">
        <f>76885100-4500000</f>
        <v>72385100</v>
      </c>
      <c r="D13" s="21">
        <f t="shared" si="0"/>
        <v>3454900</v>
      </c>
      <c r="E13" s="21">
        <f t="shared" si="1"/>
        <v>690980</v>
      </c>
      <c r="F13" s="66">
        <v>632000</v>
      </c>
      <c r="G13" s="21">
        <f t="shared" si="2"/>
        <v>58980</v>
      </c>
      <c r="H13" s="49" t="str">
        <f t="shared" si="3"/>
        <v>เกินดุล</v>
      </c>
      <c r="I13" s="24">
        <v>2</v>
      </c>
      <c r="J13" s="70" t="s">
        <v>82</v>
      </c>
      <c r="K13" s="62" t="str">
        <f t="shared" si="4"/>
        <v>ไม่เกิน</v>
      </c>
      <c r="L13" s="63" t="s">
        <v>89</v>
      </c>
      <c r="M13" s="24">
        <v>2</v>
      </c>
    </row>
    <row r="14" spans="1:13" x14ac:dyDescent="0.55000000000000004">
      <c r="A14" s="25" t="s">
        <v>24</v>
      </c>
      <c r="B14" s="26">
        <f>SUM(B6:B13)</f>
        <v>2079571215</v>
      </c>
      <c r="C14" s="26">
        <f>SUM(C6:C13)</f>
        <v>2026752454</v>
      </c>
      <c r="D14" s="26">
        <f>B14-C14</f>
        <v>52818761</v>
      </c>
      <c r="E14" s="26">
        <f>D14*20%</f>
        <v>10563752.200000001</v>
      </c>
      <c r="F14" s="26">
        <f>SUM(F6:F13)</f>
        <v>35801000</v>
      </c>
      <c r="G14" s="26">
        <f>E14-F14</f>
        <v>-25237247.799999997</v>
      </c>
      <c r="H14" s="27"/>
      <c r="I14" s="27"/>
      <c r="J14" s="27"/>
      <c r="K14" s="27"/>
    </row>
    <row r="16" spans="1:13" x14ac:dyDescent="0.55000000000000004">
      <c r="F16" s="7"/>
    </row>
    <row r="17" spans="2:11" x14ac:dyDescent="0.55000000000000004">
      <c r="B17" s="54"/>
      <c r="C17" s="54"/>
      <c r="D17" s="54"/>
      <c r="E17" s="54"/>
      <c r="F17" s="54"/>
      <c r="G17" s="54"/>
      <c r="H17" s="54"/>
      <c r="I17" s="54"/>
    </row>
    <row r="18" spans="2:11" x14ac:dyDescent="0.55000000000000004">
      <c r="B18" s="55"/>
      <c r="C18" s="55"/>
      <c r="D18" s="55"/>
      <c r="E18" s="55"/>
      <c r="F18" s="55"/>
      <c r="G18" s="58"/>
      <c r="H18" s="55"/>
      <c r="I18" s="55"/>
    </row>
    <row r="19" spans="2:11" x14ac:dyDescent="0.55000000000000004">
      <c r="J19" s="3"/>
      <c r="K19" s="3"/>
    </row>
    <row r="20" spans="2:11" x14ac:dyDescent="0.55000000000000004">
      <c r="J20" s="3"/>
      <c r="K20" s="3"/>
    </row>
    <row r="21" spans="2:11" x14ac:dyDescent="0.55000000000000004">
      <c r="J21" s="3"/>
      <c r="K21" s="3"/>
    </row>
    <row r="22" spans="2:11" x14ac:dyDescent="0.55000000000000004">
      <c r="J22" s="3"/>
      <c r="K22" s="3"/>
    </row>
    <row r="23" spans="2:11" x14ac:dyDescent="0.55000000000000004">
      <c r="J23" s="3"/>
      <c r="K23" s="3"/>
    </row>
    <row r="24" spans="2:11" x14ac:dyDescent="0.55000000000000004">
      <c r="J24" s="3"/>
      <c r="K24" s="3"/>
    </row>
    <row r="25" spans="2:11" x14ac:dyDescent="0.55000000000000004">
      <c r="J25" s="3"/>
      <c r="K25" s="3"/>
    </row>
    <row r="26" spans="2:11" x14ac:dyDescent="0.55000000000000004">
      <c r="J26" s="3"/>
      <c r="K26" s="3"/>
    </row>
  </sheetData>
  <mergeCells count="14">
    <mergeCell ref="M3:M5"/>
    <mergeCell ref="L3:L5"/>
    <mergeCell ref="J3:J5"/>
    <mergeCell ref="A1:I1"/>
    <mergeCell ref="A3:A5"/>
    <mergeCell ref="B3:B4"/>
    <mergeCell ref="C3:C4"/>
    <mergeCell ref="D3:D4"/>
    <mergeCell ref="E3:E4"/>
    <mergeCell ref="F3:F4"/>
    <mergeCell ref="G3:G4"/>
    <mergeCell ref="I3:I5"/>
    <mergeCell ref="H3:H4"/>
    <mergeCell ref="K3:K5"/>
  </mergeCells>
  <pageMargins left="0.32" right="0.28000000000000003"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32"/>
  <sheetViews>
    <sheetView zoomScaleNormal="100" workbookViewId="0">
      <pane xSplit="1" ySplit="1" topLeftCell="B20" activePane="bottomRight" state="frozen"/>
      <selection pane="topRight" activeCell="B1" sqref="B1"/>
      <selection pane="bottomLeft" activeCell="A2" sqref="A2"/>
      <selection pane="bottomRight" activeCell="A3" sqref="A3:A22"/>
    </sheetView>
  </sheetViews>
  <sheetFormatPr defaultRowHeight="24" x14ac:dyDescent="0.55000000000000004"/>
  <cols>
    <col min="1" max="1" width="16" style="1" customWidth="1"/>
    <col min="2" max="2" width="17.125" style="1" customWidth="1"/>
    <col min="3" max="3" width="19.375" style="1" customWidth="1"/>
    <col min="4" max="4" width="15.75" style="1" customWidth="1"/>
    <col min="5" max="5" width="16.125" style="1" customWidth="1"/>
    <col min="6" max="6" width="14.125" style="1" customWidth="1"/>
    <col min="7" max="7" width="16.25" style="1" customWidth="1"/>
    <col min="8" max="8" width="11.625" style="1" customWidth="1"/>
    <col min="9" max="9" width="7.25" style="1" customWidth="1"/>
    <col min="10" max="10" width="28.625" style="40" customWidth="1"/>
    <col min="11" max="11" width="12.625" style="1" customWidth="1"/>
    <col min="12" max="12" width="49.875" style="1" customWidth="1"/>
    <col min="13" max="13" width="10.5" style="3" bestFit="1" customWidth="1"/>
    <col min="14" max="14" width="9" style="1"/>
    <col min="15" max="15" width="34" style="1" customWidth="1"/>
    <col min="16" max="16384" width="9" style="1"/>
  </cols>
  <sheetData>
    <row r="1" spans="1:13" ht="27.75" x14ac:dyDescent="0.65">
      <c r="A1" s="111" t="s">
        <v>79</v>
      </c>
      <c r="B1" s="111"/>
      <c r="C1" s="111"/>
      <c r="D1" s="111"/>
      <c r="E1" s="111"/>
      <c r="F1" s="111"/>
      <c r="G1" s="111"/>
      <c r="H1" s="111"/>
      <c r="I1" s="111"/>
    </row>
    <row r="2" spans="1:13" ht="27.75" x14ac:dyDescent="0.65">
      <c r="A2" s="12" t="s">
        <v>52</v>
      </c>
      <c r="B2" s="22"/>
      <c r="C2" s="22"/>
      <c r="D2" s="22"/>
      <c r="E2" s="23"/>
      <c r="F2" s="23"/>
      <c r="G2" s="22"/>
      <c r="H2" s="22"/>
      <c r="I2" s="23"/>
    </row>
    <row r="3" spans="1:13" ht="62.25" customHeight="1" x14ac:dyDescent="0.55000000000000004">
      <c r="A3" s="106" t="s">
        <v>28</v>
      </c>
      <c r="B3" s="106" t="s">
        <v>1</v>
      </c>
      <c r="C3" s="106" t="s">
        <v>2</v>
      </c>
      <c r="D3" s="106" t="s">
        <v>3</v>
      </c>
      <c r="E3" s="103" t="s">
        <v>8</v>
      </c>
      <c r="F3" s="103" t="s">
        <v>76</v>
      </c>
      <c r="G3" s="106" t="s">
        <v>4</v>
      </c>
      <c r="H3" s="103" t="s">
        <v>7</v>
      </c>
      <c r="I3" s="103" t="s">
        <v>49</v>
      </c>
      <c r="J3" s="106" t="s">
        <v>50</v>
      </c>
      <c r="K3" s="108" t="s">
        <v>78</v>
      </c>
      <c r="L3" s="103" t="s">
        <v>77</v>
      </c>
      <c r="M3" s="103" t="s">
        <v>90</v>
      </c>
    </row>
    <row r="4" spans="1:13" x14ac:dyDescent="0.55000000000000004">
      <c r="A4" s="106"/>
      <c r="B4" s="106"/>
      <c r="C4" s="106"/>
      <c r="D4" s="106"/>
      <c r="E4" s="105"/>
      <c r="F4" s="105"/>
      <c r="G4" s="106"/>
      <c r="H4" s="105"/>
      <c r="I4" s="104"/>
      <c r="J4" s="106"/>
      <c r="K4" s="109"/>
      <c r="L4" s="104"/>
      <c r="M4" s="104"/>
    </row>
    <row r="5" spans="1:13" x14ac:dyDescent="0.55000000000000004">
      <c r="A5" s="106"/>
      <c r="B5" s="5" t="s">
        <v>9</v>
      </c>
      <c r="C5" s="5" t="s">
        <v>10</v>
      </c>
      <c r="D5" s="5" t="s">
        <v>13</v>
      </c>
      <c r="E5" s="5" t="s">
        <v>14</v>
      </c>
      <c r="F5" s="5" t="s">
        <v>11</v>
      </c>
      <c r="G5" s="5" t="s">
        <v>15</v>
      </c>
      <c r="H5" s="47" t="s">
        <v>12</v>
      </c>
      <c r="I5" s="105"/>
      <c r="J5" s="106"/>
      <c r="K5" s="110"/>
      <c r="L5" s="105"/>
      <c r="M5" s="105"/>
    </row>
    <row r="6" spans="1:13" x14ac:dyDescent="0.55000000000000004">
      <c r="A6" s="73" t="s">
        <v>53</v>
      </c>
      <c r="B6" s="65">
        <f>1504395715.74-25061715.74</f>
        <v>1479334000</v>
      </c>
      <c r="C6" s="65">
        <f>1529125400-340000-103929000</f>
        <v>1424856400</v>
      </c>
      <c r="D6" s="21">
        <f>B6-C6</f>
        <v>54477600</v>
      </c>
      <c r="E6" s="21">
        <f>D6*20%</f>
        <v>10895520</v>
      </c>
      <c r="F6" s="66">
        <v>10803550</v>
      </c>
      <c r="G6" s="21">
        <f>E6-F6</f>
        <v>91970</v>
      </c>
      <c r="H6" s="49" t="str">
        <f>IF(D6&gt;0,"เกินดุล",IF(D6=0,"สมดุล","ขาดดุล"))</f>
        <v>เกินดุล</v>
      </c>
      <c r="I6" s="84">
        <v>1</v>
      </c>
      <c r="J6" s="70" t="s">
        <v>81</v>
      </c>
      <c r="K6" s="62" t="str">
        <f>IF(G6&gt;=0,"ไม่เกิน","เกิน")</f>
        <v>ไม่เกิน</v>
      </c>
      <c r="L6" s="25" t="s">
        <v>89</v>
      </c>
      <c r="M6" s="32">
        <v>0</v>
      </c>
    </row>
    <row r="7" spans="1:13" x14ac:dyDescent="0.55000000000000004">
      <c r="A7" s="73" t="s">
        <v>54</v>
      </c>
      <c r="B7" s="65">
        <f>455505572-13335572</f>
        <v>442170000</v>
      </c>
      <c r="C7" s="65">
        <f>488150000-100000-47000000</f>
        <v>441050000</v>
      </c>
      <c r="D7" s="21">
        <f t="shared" ref="D7:D21" si="0">B7-C7</f>
        <v>1120000</v>
      </c>
      <c r="E7" s="21">
        <f t="shared" ref="E7:E21" si="1">D7*20%</f>
        <v>224000</v>
      </c>
      <c r="F7" s="66">
        <v>204000</v>
      </c>
      <c r="G7" s="21">
        <f t="shared" ref="G7:G21" si="2">E7-F7</f>
        <v>20000</v>
      </c>
      <c r="H7" s="49" t="str">
        <f t="shared" ref="H7:H21" si="3">IF(D7&gt;0,"เกินดุล",IF(D7=0,"สมดุล","ขาดดุล"))</f>
        <v>เกินดุล</v>
      </c>
      <c r="I7" s="84">
        <v>2</v>
      </c>
      <c r="J7" s="70" t="s">
        <v>82</v>
      </c>
      <c r="K7" s="62" t="str">
        <f t="shared" ref="K7:K21" si="4">IF(G7&gt;=0,"ไม่เกิน","เกิน")</f>
        <v>ไม่เกิน</v>
      </c>
      <c r="L7" s="25" t="s">
        <v>89</v>
      </c>
      <c r="M7" s="32">
        <v>6</v>
      </c>
    </row>
    <row r="8" spans="1:13" x14ac:dyDescent="0.55000000000000004">
      <c r="A8" s="73" t="s">
        <v>55</v>
      </c>
      <c r="B8" s="65">
        <f>111153119-1372000</f>
        <v>109781119</v>
      </c>
      <c r="C8" s="65">
        <f>109007271.82-3473400</f>
        <v>105533871.81999999</v>
      </c>
      <c r="D8" s="21">
        <f t="shared" si="0"/>
        <v>4247247.1800000072</v>
      </c>
      <c r="E8" s="21">
        <f t="shared" si="1"/>
        <v>849449.4360000015</v>
      </c>
      <c r="F8" s="66">
        <v>580000</v>
      </c>
      <c r="G8" s="21">
        <f t="shared" si="2"/>
        <v>269449.4360000015</v>
      </c>
      <c r="H8" s="49" t="str">
        <f t="shared" si="3"/>
        <v>เกินดุล</v>
      </c>
      <c r="I8" s="84">
        <v>2</v>
      </c>
      <c r="J8" s="70" t="s">
        <v>82</v>
      </c>
      <c r="K8" s="62" t="str">
        <f t="shared" si="4"/>
        <v>ไม่เกิน</v>
      </c>
      <c r="L8" s="25" t="s">
        <v>89</v>
      </c>
      <c r="M8" s="32">
        <v>1</v>
      </c>
    </row>
    <row r="9" spans="1:13" x14ac:dyDescent="0.55000000000000004">
      <c r="A9" s="73" t="s">
        <v>56</v>
      </c>
      <c r="B9" s="65">
        <f>91358664.54-1280804.87</f>
        <v>90077859.670000002</v>
      </c>
      <c r="C9" s="65">
        <f>91238855.3-7058000</f>
        <v>84180855.299999997</v>
      </c>
      <c r="D9" s="21">
        <f t="shared" si="0"/>
        <v>5897004.3700000048</v>
      </c>
      <c r="E9" s="21">
        <f t="shared" si="1"/>
        <v>1179400.874000001</v>
      </c>
      <c r="F9" s="66">
        <v>0</v>
      </c>
      <c r="G9" s="21">
        <f t="shared" si="2"/>
        <v>1179400.874000001</v>
      </c>
      <c r="H9" s="49" t="str">
        <f t="shared" si="3"/>
        <v>เกินดุล</v>
      </c>
      <c r="I9" s="84">
        <v>2</v>
      </c>
      <c r="J9" s="70" t="s">
        <v>82</v>
      </c>
      <c r="K9" s="62" t="str">
        <f t="shared" si="4"/>
        <v>ไม่เกิน</v>
      </c>
      <c r="L9" s="25" t="s">
        <v>89</v>
      </c>
      <c r="M9" s="32">
        <v>0</v>
      </c>
    </row>
    <row r="10" spans="1:13" x14ac:dyDescent="0.55000000000000004">
      <c r="A10" s="73" t="s">
        <v>57</v>
      </c>
      <c r="B10" s="65">
        <f>86859627.63-3015347.98</f>
        <v>83844279.649999991</v>
      </c>
      <c r="C10" s="65">
        <f>89297465.18-5964566.97</f>
        <v>83332898.210000008</v>
      </c>
      <c r="D10" s="21">
        <f t="shared" si="0"/>
        <v>511381.43999998271</v>
      </c>
      <c r="E10" s="21">
        <f t="shared" si="1"/>
        <v>102276.28799999655</v>
      </c>
      <c r="F10" s="66">
        <v>102276.28</v>
      </c>
      <c r="G10" s="21">
        <f t="shared" si="2"/>
        <v>7.9999965528259054E-3</v>
      </c>
      <c r="H10" s="49" t="str">
        <f t="shared" si="3"/>
        <v>เกินดุล</v>
      </c>
      <c r="I10" s="84">
        <v>1</v>
      </c>
      <c r="J10" s="70" t="s">
        <v>81</v>
      </c>
      <c r="K10" s="62" t="str">
        <f t="shared" si="4"/>
        <v>ไม่เกิน</v>
      </c>
      <c r="L10" s="25" t="s">
        <v>89</v>
      </c>
      <c r="M10" s="32">
        <v>0</v>
      </c>
    </row>
    <row r="11" spans="1:13" s="60" customFormat="1" x14ac:dyDescent="0.55000000000000004">
      <c r="A11" s="73" t="s">
        <v>58</v>
      </c>
      <c r="B11" s="65">
        <f>80927823.4-869823.4</f>
        <v>80058000</v>
      </c>
      <c r="C11" s="65">
        <f>80435495-3000000</f>
        <v>77435495</v>
      </c>
      <c r="D11" s="35">
        <f t="shared" si="0"/>
        <v>2622505</v>
      </c>
      <c r="E11" s="35">
        <f t="shared" si="1"/>
        <v>524501</v>
      </c>
      <c r="F11" s="66">
        <v>411000</v>
      </c>
      <c r="G11" s="35">
        <f t="shared" si="2"/>
        <v>113501</v>
      </c>
      <c r="H11" s="49" t="str">
        <f t="shared" si="3"/>
        <v>เกินดุล</v>
      </c>
      <c r="I11" s="88">
        <v>2</v>
      </c>
      <c r="J11" s="89" t="s">
        <v>82</v>
      </c>
      <c r="K11" s="62" t="str">
        <f t="shared" si="4"/>
        <v>ไม่เกิน</v>
      </c>
      <c r="L11" s="90" t="s">
        <v>89</v>
      </c>
      <c r="M11" s="38">
        <v>1</v>
      </c>
    </row>
    <row r="12" spans="1:13" s="39" customFormat="1" x14ac:dyDescent="0.55000000000000004">
      <c r="A12" s="73" t="s">
        <v>59</v>
      </c>
      <c r="B12" s="65">
        <f>210185862.27-8426142.79</f>
        <v>201759719.48000002</v>
      </c>
      <c r="C12" s="65">
        <f>219756761.04-18566942.68</f>
        <v>201189818.35999998</v>
      </c>
      <c r="D12" s="21">
        <f t="shared" si="0"/>
        <v>569901.12000003457</v>
      </c>
      <c r="E12" s="21">
        <f t="shared" si="1"/>
        <v>113980.22400000691</v>
      </c>
      <c r="F12" s="66">
        <v>0</v>
      </c>
      <c r="G12" s="21">
        <f t="shared" si="2"/>
        <v>113980.22400000691</v>
      </c>
      <c r="H12" s="49" t="str">
        <f t="shared" si="3"/>
        <v>เกินดุล</v>
      </c>
      <c r="I12" s="84">
        <v>2</v>
      </c>
      <c r="J12" s="70" t="s">
        <v>82</v>
      </c>
      <c r="K12" s="62" t="str">
        <f t="shared" si="4"/>
        <v>ไม่เกิน</v>
      </c>
      <c r="L12" s="25" t="s">
        <v>89</v>
      </c>
      <c r="M12" s="38">
        <v>0</v>
      </c>
    </row>
    <row r="13" spans="1:13" s="39" customFormat="1" x14ac:dyDescent="0.55000000000000004">
      <c r="A13" s="73" t="s">
        <v>60</v>
      </c>
      <c r="B13" s="65">
        <f>96237800-10939500</f>
        <v>85298300</v>
      </c>
      <c r="C13" s="65">
        <f>87794538.72-2571900</f>
        <v>85222638.719999999</v>
      </c>
      <c r="D13" s="21">
        <f t="shared" si="0"/>
        <v>75661.280000001192</v>
      </c>
      <c r="E13" s="21">
        <f t="shared" si="1"/>
        <v>15132.25600000024</v>
      </c>
      <c r="F13" s="66">
        <v>0</v>
      </c>
      <c r="G13" s="21">
        <f t="shared" si="2"/>
        <v>15132.25600000024</v>
      </c>
      <c r="H13" s="49" t="str">
        <f t="shared" si="3"/>
        <v>เกินดุล</v>
      </c>
      <c r="I13" s="84">
        <v>2</v>
      </c>
      <c r="J13" s="70" t="s">
        <v>82</v>
      </c>
      <c r="K13" s="62" t="str">
        <f t="shared" si="4"/>
        <v>ไม่เกิน</v>
      </c>
      <c r="L13" s="25" t="s">
        <v>89</v>
      </c>
      <c r="M13" s="38">
        <v>1</v>
      </c>
    </row>
    <row r="14" spans="1:13" s="39" customFormat="1" x14ac:dyDescent="0.55000000000000004">
      <c r="A14" s="73" t="s">
        <v>61</v>
      </c>
      <c r="B14" s="65">
        <f>95719733.39-1268021.27</f>
        <v>94451712.120000005</v>
      </c>
      <c r="C14" s="65">
        <f>94096433.73-6134677.27</f>
        <v>87961756.460000008</v>
      </c>
      <c r="D14" s="21">
        <f t="shared" si="0"/>
        <v>6489955.6599999964</v>
      </c>
      <c r="E14" s="21">
        <f t="shared" si="1"/>
        <v>1297991.1319999993</v>
      </c>
      <c r="F14" s="66">
        <v>1235000</v>
      </c>
      <c r="G14" s="21">
        <f t="shared" si="2"/>
        <v>62991.131999999285</v>
      </c>
      <c r="H14" s="49" t="str">
        <f t="shared" si="3"/>
        <v>เกินดุล</v>
      </c>
      <c r="I14" s="84">
        <v>2</v>
      </c>
      <c r="J14" s="70" t="s">
        <v>82</v>
      </c>
      <c r="K14" s="62" t="str">
        <f t="shared" si="4"/>
        <v>ไม่เกิน</v>
      </c>
      <c r="L14" s="25" t="s">
        <v>89</v>
      </c>
      <c r="M14" s="38">
        <v>1</v>
      </c>
    </row>
    <row r="15" spans="1:13" s="39" customFormat="1" x14ac:dyDescent="0.55000000000000004">
      <c r="A15" s="73" t="s">
        <v>62</v>
      </c>
      <c r="B15" s="65">
        <f>90468117.77-1170117.77</f>
        <v>89298000</v>
      </c>
      <c r="C15" s="65">
        <f>90170000-2600000</f>
        <v>87570000</v>
      </c>
      <c r="D15" s="21">
        <f t="shared" si="0"/>
        <v>1728000</v>
      </c>
      <c r="E15" s="21">
        <f t="shared" si="1"/>
        <v>345600</v>
      </c>
      <c r="F15" s="66"/>
      <c r="G15" s="21">
        <f t="shared" si="2"/>
        <v>345600</v>
      </c>
      <c r="H15" s="49" t="str">
        <f t="shared" si="3"/>
        <v>เกินดุล</v>
      </c>
      <c r="I15" s="84">
        <v>1</v>
      </c>
      <c r="J15" s="70" t="s">
        <v>81</v>
      </c>
      <c r="K15" s="62" t="str">
        <f t="shared" si="4"/>
        <v>ไม่เกิน</v>
      </c>
      <c r="L15" s="25" t="s">
        <v>89</v>
      </c>
      <c r="M15" s="38">
        <v>0</v>
      </c>
    </row>
    <row r="16" spans="1:13" s="39" customFormat="1" x14ac:dyDescent="0.55000000000000004">
      <c r="A16" s="73" t="s">
        <v>63</v>
      </c>
      <c r="B16" s="65">
        <f>93882510.76-9367580.76</f>
        <v>84514930</v>
      </c>
      <c r="C16" s="65">
        <f>87827267-5100000</f>
        <v>82727267</v>
      </c>
      <c r="D16" s="21">
        <f t="shared" si="0"/>
        <v>1787663</v>
      </c>
      <c r="E16" s="21">
        <f t="shared" si="1"/>
        <v>357532.60000000003</v>
      </c>
      <c r="F16" s="66">
        <v>0</v>
      </c>
      <c r="G16" s="21">
        <f t="shared" si="2"/>
        <v>357532.60000000003</v>
      </c>
      <c r="H16" s="49" t="str">
        <f t="shared" si="3"/>
        <v>เกินดุล</v>
      </c>
      <c r="I16" s="84">
        <v>1</v>
      </c>
      <c r="J16" s="70" t="s">
        <v>81</v>
      </c>
      <c r="K16" s="62" t="str">
        <f t="shared" si="4"/>
        <v>ไม่เกิน</v>
      </c>
      <c r="L16" s="25" t="s">
        <v>89</v>
      </c>
      <c r="M16" s="38">
        <v>0</v>
      </c>
    </row>
    <row r="17" spans="1:15" s="43" customFormat="1" ht="360" x14ac:dyDescent="0.2">
      <c r="A17" s="78" t="s">
        <v>64</v>
      </c>
      <c r="B17" s="65">
        <f>168462175.81-17037500</f>
        <v>151424675.81</v>
      </c>
      <c r="C17" s="65">
        <f>161510587.95-17254383.46</f>
        <v>144256204.48999998</v>
      </c>
      <c r="D17" s="21">
        <f t="shared" si="0"/>
        <v>7168471.3200000226</v>
      </c>
      <c r="E17" s="21">
        <f t="shared" si="1"/>
        <v>1433694.2640000046</v>
      </c>
      <c r="F17" s="66">
        <v>7868494.2000000002</v>
      </c>
      <c r="G17" s="21">
        <f t="shared" si="2"/>
        <v>-6434799.9359999951</v>
      </c>
      <c r="H17" s="49" t="str">
        <f t="shared" si="3"/>
        <v>เกินดุล</v>
      </c>
      <c r="I17" s="24">
        <v>3</v>
      </c>
      <c r="J17" s="80" t="s">
        <v>87</v>
      </c>
      <c r="K17" s="61" t="str">
        <f t="shared" si="4"/>
        <v>เกิน</v>
      </c>
      <c r="L17" s="37" t="s">
        <v>139</v>
      </c>
      <c r="M17" s="38">
        <v>0</v>
      </c>
      <c r="O17" s="64"/>
    </row>
    <row r="18" spans="1:15" s="39" customFormat="1" x14ac:dyDescent="0.55000000000000004">
      <c r="A18" s="73" t="s">
        <v>65</v>
      </c>
      <c r="B18" s="65">
        <f>48053064.41-678864.41</f>
        <v>47374200</v>
      </c>
      <c r="C18" s="65">
        <f>50267500-2918100</f>
        <v>47349400</v>
      </c>
      <c r="D18" s="21">
        <f t="shared" si="0"/>
        <v>24800</v>
      </c>
      <c r="E18" s="21">
        <f t="shared" si="1"/>
        <v>4960</v>
      </c>
      <c r="F18" s="66">
        <v>0</v>
      </c>
      <c r="G18" s="21">
        <f t="shared" si="2"/>
        <v>4960</v>
      </c>
      <c r="H18" s="49" t="str">
        <f t="shared" si="3"/>
        <v>เกินดุล</v>
      </c>
      <c r="I18" s="84">
        <v>2</v>
      </c>
      <c r="J18" s="70" t="s">
        <v>82</v>
      </c>
      <c r="K18" s="62" t="str">
        <f t="shared" si="4"/>
        <v>ไม่เกิน</v>
      </c>
      <c r="L18" s="25" t="s">
        <v>89</v>
      </c>
      <c r="M18" s="38">
        <v>0</v>
      </c>
    </row>
    <row r="19" spans="1:15" s="39" customFormat="1" x14ac:dyDescent="0.55000000000000004">
      <c r="A19" s="73" t="s">
        <v>112</v>
      </c>
      <c r="B19" s="65">
        <f>113581697.82-1469113.08</f>
        <v>112112584.73999999</v>
      </c>
      <c r="C19" s="65">
        <f>114467105.89-6855441.39</f>
        <v>107611664.5</v>
      </c>
      <c r="D19" s="21">
        <f t="shared" si="0"/>
        <v>4500920.2399999946</v>
      </c>
      <c r="E19" s="21">
        <f t="shared" si="1"/>
        <v>900184.04799999902</v>
      </c>
      <c r="F19" s="66">
        <v>10500</v>
      </c>
      <c r="G19" s="21">
        <f t="shared" si="2"/>
        <v>889684.04799999902</v>
      </c>
      <c r="H19" s="49" t="str">
        <f t="shared" si="3"/>
        <v>เกินดุล</v>
      </c>
      <c r="I19" s="84">
        <v>2</v>
      </c>
      <c r="J19" s="70" t="s">
        <v>82</v>
      </c>
      <c r="K19" s="62" t="str">
        <f t="shared" si="4"/>
        <v>ไม่เกิน</v>
      </c>
      <c r="L19" s="25" t="s">
        <v>89</v>
      </c>
      <c r="M19" s="38">
        <v>1</v>
      </c>
    </row>
    <row r="20" spans="1:15" x14ac:dyDescent="0.55000000000000004">
      <c r="A20" s="73" t="s">
        <v>66</v>
      </c>
      <c r="B20" s="65">
        <f>53393714.05-779233.05</f>
        <v>52614481</v>
      </c>
      <c r="C20" s="65">
        <f>53569473.24-4236573.24</f>
        <v>49332900</v>
      </c>
      <c r="D20" s="21">
        <f t="shared" si="0"/>
        <v>3281581</v>
      </c>
      <c r="E20" s="21">
        <f t="shared" si="1"/>
        <v>656316.20000000007</v>
      </c>
      <c r="F20" s="66">
        <v>323500</v>
      </c>
      <c r="G20" s="21">
        <f t="shared" si="2"/>
        <v>332816.20000000007</v>
      </c>
      <c r="H20" s="49" t="str">
        <f t="shared" si="3"/>
        <v>เกินดุล</v>
      </c>
      <c r="I20" s="84">
        <v>2</v>
      </c>
      <c r="J20" s="70" t="s">
        <v>82</v>
      </c>
      <c r="K20" s="62" t="str">
        <f t="shared" si="4"/>
        <v>ไม่เกิน</v>
      </c>
      <c r="L20" s="25" t="s">
        <v>89</v>
      </c>
      <c r="M20" s="32">
        <v>2</v>
      </c>
    </row>
    <row r="21" spans="1:15" x14ac:dyDescent="0.55000000000000004">
      <c r="A21" s="73" t="s">
        <v>67</v>
      </c>
      <c r="B21" s="65">
        <f>56560734.82-899734.82</f>
        <v>55661000</v>
      </c>
      <c r="C21" s="65">
        <f>58750000-4200000</f>
        <v>54550000</v>
      </c>
      <c r="D21" s="21">
        <f t="shared" si="0"/>
        <v>1111000</v>
      </c>
      <c r="E21" s="21">
        <f t="shared" si="1"/>
        <v>222200</v>
      </c>
      <c r="F21" s="66">
        <v>0</v>
      </c>
      <c r="G21" s="21">
        <f t="shared" si="2"/>
        <v>222200</v>
      </c>
      <c r="H21" s="49" t="str">
        <f t="shared" si="3"/>
        <v>เกินดุล</v>
      </c>
      <c r="I21" s="84">
        <v>1</v>
      </c>
      <c r="J21" s="70" t="s">
        <v>81</v>
      </c>
      <c r="K21" s="62" t="str">
        <f t="shared" si="4"/>
        <v>ไม่เกิน</v>
      </c>
      <c r="L21" s="25" t="s">
        <v>89</v>
      </c>
      <c r="M21" s="32">
        <v>0</v>
      </c>
    </row>
    <row r="22" spans="1:15" x14ac:dyDescent="0.55000000000000004">
      <c r="A22" s="25" t="s">
        <v>24</v>
      </c>
      <c r="B22" s="26">
        <f>SUM(B6:B21)</f>
        <v>3259774861.4699998</v>
      </c>
      <c r="C22" s="26">
        <f>SUM(C6:C21)</f>
        <v>3164161169.8599997</v>
      </c>
      <c r="D22" s="26">
        <f t="shared" ref="D22" si="5">B22-C22</f>
        <v>95613691.610000134</v>
      </c>
      <c r="E22" s="26">
        <f t="shared" ref="E22" si="6">D22*20%</f>
        <v>19122738.322000027</v>
      </c>
      <c r="F22" s="26">
        <f>SUM(F6:F21)</f>
        <v>21538320.48</v>
      </c>
      <c r="G22" s="26">
        <f>E22-F22</f>
        <v>-2415582.1579999737</v>
      </c>
      <c r="H22" s="27"/>
      <c r="I22" s="27"/>
      <c r="J22" s="68"/>
      <c r="K22" s="27"/>
      <c r="M22" s="28"/>
    </row>
    <row r="24" spans="1:15" x14ac:dyDescent="0.55000000000000004">
      <c r="F24" s="7"/>
    </row>
    <row r="25" spans="1:15" x14ac:dyDescent="0.55000000000000004">
      <c r="E25" s="7"/>
      <c r="F25" s="7"/>
    </row>
    <row r="26" spans="1:15" x14ac:dyDescent="0.55000000000000004">
      <c r="E26" s="7"/>
      <c r="G26" s="6"/>
    </row>
    <row r="32" spans="1:15" x14ac:dyDescent="0.55000000000000004">
      <c r="H32" s="3"/>
      <c r="I32" s="3"/>
    </row>
  </sheetData>
  <mergeCells count="14">
    <mergeCell ref="L3:L5"/>
    <mergeCell ref="J3:J5"/>
    <mergeCell ref="M3:M5"/>
    <mergeCell ref="A1:I1"/>
    <mergeCell ref="A3:A5"/>
    <mergeCell ref="B3:B4"/>
    <mergeCell ref="C3:C4"/>
    <mergeCell ref="D3:D4"/>
    <mergeCell ref="E3:E4"/>
    <mergeCell ref="F3:F4"/>
    <mergeCell ref="G3:G4"/>
    <mergeCell ref="I3:I5"/>
    <mergeCell ref="H3:H4"/>
    <mergeCell ref="K3:K5"/>
  </mergeCells>
  <pageMargins left="0.34" right="0.33" top="0.51" bottom="0.31" header="0.52" footer="0.22"/>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29"/>
  <sheetViews>
    <sheetView zoomScaleNormal="100" workbookViewId="0">
      <pane xSplit="1" ySplit="1" topLeftCell="B8" activePane="bottomRight" state="frozen"/>
      <selection pane="topRight" activeCell="B1" sqref="B1"/>
      <selection pane="bottomLeft" activeCell="A2" sqref="A2"/>
      <selection pane="bottomRight" activeCell="E8" sqref="E8"/>
    </sheetView>
  </sheetViews>
  <sheetFormatPr defaultRowHeight="24" x14ac:dyDescent="0.55000000000000004"/>
  <cols>
    <col min="1" max="1" width="17.875" style="1" bestFit="1" customWidth="1"/>
    <col min="2" max="2" width="17.125" style="1" customWidth="1"/>
    <col min="3" max="3" width="19.375" style="1" customWidth="1"/>
    <col min="4" max="4" width="15.75" style="1" customWidth="1"/>
    <col min="5" max="5" width="16.125" style="1" customWidth="1"/>
    <col min="6" max="6" width="14.125" style="1" customWidth="1"/>
    <col min="7" max="7" width="16.25" style="1" customWidth="1"/>
    <col min="8" max="8" width="11.625" style="1" customWidth="1"/>
    <col min="9" max="9" width="7.25" style="1" customWidth="1"/>
    <col min="10" max="10" width="28.625" style="1" customWidth="1"/>
    <col min="11" max="11" width="12.625" style="1" customWidth="1"/>
    <col min="12" max="12" width="49.875" style="1" customWidth="1"/>
    <col min="13" max="13" width="9.875" style="3" customWidth="1"/>
    <col min="14" max="16384" width="9" style="1"/>
  </cols>
  <sheetData>
    <row r="1" spans="1:14" ht="27.75" x14ac:dyDescent="0.65">
      <c r="A1" s="111" t="s">
        <v>79</v>
      </c>
      <c r="B1" s="111"/>
      <c r="C1" s="111"/>
      <c r="D1" s="111"/>
      <c r="E1" s="111"/>
      <c r="F1" s="111"/>
      <c r="G1" s="111"/>
      <c r="H1" s="111"/>
      <c r="I1" s="111"/>
    </row>
    <row r="2" spans="1:14" ht="27.75" x14ac:dyDescent="0.65">
      <c r="A2" s="12" t="s">
        <v>32</v>
      </c>
      <c r="B2" s="8"/>
      <c r="C2" s="8"/>
      <c r="D2" s="8"/>
      <c r="E2" s="10"/>
      <c r="F2" s="10"/>
      <c r="G2" s="8"/>
      <c r="H2" s="8"/>
      <c r="I2" s="16"/>
    </row>
    <row r="3" spans="1:14"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4" x14ac:dyDescent="0.55000000000000004">
      <c r="A4" s="106"/>
      <c r="B4" s="106"/>
      <c r="C4" s="106"/>
      <c r="D4" s="106"/>
      <c r="E4" s="105"/>
      <c r="F4" s="105"/>
      <c r="G4" s="106"/>
      <c r="H4" s="105"/>
      <c r="I4" s="104"/>
      <c r="J4" s="107"/>
      <c r="K4" s="109"/>
      <c r="L4" s="104"/>
      <c r="M4" s="104"/>
    </row>
    <row r="5" spans="1:14" x14ac:dyDescent="0.55000000000000004">
      <c r="A5" s="106"/>
      <c r="B5" s="5" t="s">
        <v>9</v>
      </c>
      <c r="C5" s="5" t="s">
        <v>10</v>
      </c>
      <c r="D5" s="5" t="s">
        <v>13</v>
      </c>
      <c r="E5" s="5" t="s">
        <v>14</v>
      </c>
      <c r="F5" s="5" t="s">
        <v>11</v>
      </c>
      <c r="G5" s="5" t="s">
        <v>15</v>
      </c>
      <c r="H5" s="47" t="s">
        <v>12</v>
      </c>
      <c r="I5" s="105"/>
      <c r="J5" s="107"/>
      <c r="K5" s="110"/>
      <c r="L5" s="105"/>
      <c r="M5" s="105"/>
    </row>
    <row r="6" spans="1:14" x14ac:dyDescent="0.55000000000000004">
      <c r="A6" s="78" t="s">
        <v>99</v>
      </c>
      <c r="B6" s="65">
        <f>1282740324.05-15640324.05</f>
        <v>1267100000</v>
      </c>
      <c r="C6" s="65">
        <f>1193850000-1000000-78000000</f>
        <v>1114850000</v>
      </c>
      <c r="D6" s="21">
        <f>B6-C6</f>
        <v>152250000</v>
      </c>
      <c r="E6" s="21">
        <f>D6*20%</f>
        <v>30450000</v>
      </c>
      <c r="F6" s="66">
        <v>9085941</v>
      </c>
      <c r="G6" s="21">
        <f>E6-F6</f>
        <v>21364059</v>
      </c>
      <c r="H6" s="49" t="str">
        <f>IF(D6&gt;0,"เกินดุล",IF(D6=0,"สมดุล","ขาดดุล"))</f>
        <v>เกินดุล</v>
      </c>
      <c r="I6" s="24">
        <v>1</v>
      </c>
      <c r="J6" s="70" t="s">
        <v>81</v>
      </c>
      <c r="K6" s="50" t="str">
        <f>IF(G6&gt;=0,"ไม่เกิน","เกิน")</f>
        <v>ไม่เกิน</v>
      </c>
      <c r="L6" s="81" t="s">
        <v>89</v>
      </c>
      <c r="M6" s="32">
        <v>1</v>
      </c>
    </row>
    <row r="7" spans="1:14" s="39" customFormat="1" ht="72" x14ac:dyDescent="0.55000000000000004">
      <c r="A7" s="78" t="s">
        <v>33</v>
      </c>
      <c r="B7" s="65">
        <f>563489000-5642000-120000000</f>
        <v>437847000</v>
      </c>
      <c r="C7" s="65">
        <f>596310800-120000000-39990000</f>
        <v>436320800</v>
      </c>
      <c r="D7" s="21">
        <f t="shared" ref="D7:D16" si="0">B7-C7</f>
        <v>1526200</v>
      </c>
      <c r="E7" s="21">
        <f t="shared" ref="E7:E16" si="1">D7*20%</f>
        <v>305240</v>
      </c>
      <c r="F7" s="66">
        <v>3200000</v>
      </c>
      <c r="G7" s="21">
        <f t="shared" ref="G7:G16" si="2">E7-F7</f>
        <v>-2894760</v>
      </c>
      <c r="H7" s="49" t="str">
        <f t="shared" ref="H7:H16" si="3">IF(D7&gt;0,"เกินดุล",IF(D7=0,"สมดุล","ขาดดุล"))</f>
        <v>เกินดุล</v>
      </c>
      <c r="I7" s="24">
        <v>4</v>
      </c>
      <c r="J7" s="79" t="s">
        <v>80</v>
      </c>
      <c r="K7" s="61" t="str">
        <f t="shared" ref="K7:K16" si="4">IF(G7&gt;=0,"ไม่เกิน","เกิน")</f>
        <v>เกิน</v>
      </c>
      <c r="L7" s="37" t="s">
        <v>124</v>
      </c>
      <c r="M7" s="38">
        <v>2</v>
      </c>
    </row>
    <row r="8" spans="1:14" s="43" customFormat="1" ht="72" x14ac:dyDescent="0.55000000000000004">
      <c r="A8" s="78" t="s">
        <v>100</v>
      </c>
      <c r="B8" s="65">
        <f>147057627.62-3881787.51</f>
        <v>143175840.11000001</v>
      </c>
      <c r="C8" s="65">
        <f>146320895.93-7295164.7</f>
        <v>139025731.23000002</v>
      </c>
      <c r="D8" s="21">
        <f t="shared" si="0"/>
        <v>4150108.8799999952</v>
      </c>
      <c r="E8" s="21">
        <f t="shared" si="1"/>
        <v>830021.77599999914</v>
      </c>
      <c r="F8" s="66">
        <v>993180</v>
      </c>
      <c r="G8" s="21">
        <f t="shared" si="2"/>
        <v>-163158.22400000086</v>
      </c>
      <c r="H8" s="49" t="str">
        <f t="shared" si="3"/>
        <v>เกินดุล</v>
      </c>
      <c r="I8" s="24">
        <v>4</v>
      </c>
      <c r="J8" s="79" t="s">
        <v>80</v>
      </c>
      <c r="K8" s="61" t="str">
        <f t="shared" si="4"/>
        <v>เกิน</v>
      </c>
      <c r="L8" s="37" t="s">
        <v>125</v>
      </c>
      <c r="M8" s="38">
        <v>0</v>
      </c>
      <c r="N8" s="60"/>
    </row>
    <row r="9" spans="1:14" x14ac:dyDescent="0.55000000000000004">
      <c r="A9" s="78" t="s">
        <v>101</v>
      </c>
      <c r="B9" s="65">
        <f>217588020.48-6368275.48</f>
        <v>211219745</v>
      </c>
      <c r="C9" s="65">
        <f>220578475-18042900</f>
        <v>202535575</v>
      </c>
      <c r="D9" s="21">
        <f t="shared" si="0"/>
        <v>8684170</v>
      </c>
      <c r="E9" s="21">
        <f t="shared" si="1"/>
        <v>1736834</v>
      </c>
      <c r="F9" s="66">
        <v>250000</v>
      </c>
      <c r="G9" s="21">
        <f t="shared" si="2"/>
        <v>1486834</v>
      </c>
      <c r="H9" s="49" t="str">
        <f t="shared" si="3"/>
        <v>เกินดุล</v>
      </c>
      <c r="I9" s="24">
        <v>2</v>
      </c>
      <c r="J9" s="79" t="s">
        <v>82</v>
      </c>
      <c r="K9" s="62" t="str">
        <f t="shared" si="4"/>
        <v>ไม่เกิน</v>
      </c>
      <c r="L9" s="81" t="s">
        <v>89</v>
      </c>
      <c r="M9" s="32">
        <v>1</v>
      </c>
      <c r="N9" s="60"/>
    </row>
    <row r="10" spans="1:14" ht="72" x14ac:dyDescent="0.55000000000000004">
      <c r="A10" s="78" t="s">
        <v>102</v>
      </c>
      <c r="B10" s="65">
        <f>309454880-5152980</f>
        <v>304301900</v>
      </c>
      <c r="C10" s="65">
        <f>322956900-18655000</f>
        <v>304301900</v>
      </c>
      <c r="D10" s="21">
        <f t="shared" si="0"/>
        <v>0</v>
      </c>
      <c r="E10" s="21">
        <f t="shared" si="1"/>
        <v>0</v>
      </c>
      <c r="F10" s="66">
        <v>11407400</v>
      </c>
      <c r="G10" s="21">
        <f t="shared" si="2"/>
        <v>-11407400</v>
      </c>
      <c r="H10" s="101" t="str">
        <f t="shared" si="3"/>
        <v>สมดุล</v>
      </c>
      <c r="I10" s="24">
        <v>4</v>
      </c>
      <c r="J10" s="79" t="s">
        <v>80</v>
      </c>
      <c r="K10" s="61" t="str">
        <f t="shared" si="4"/>
        <v>เกิน</v>
      </c>
      <c r="L10" s="42" t="s">
        <v>126</v>
      </c>
      <c r="M10" s="32">
        <v>3</v>
      </c>
      <c r="N10" s="60"/>
    </row>
    <row r="11" spans="1:14" x14ac:dyDescent="0.55000000000000004">
      <c r="A11" s="78" t="s">
        <v>103</v>
      </c>
      <c r="B11" s="65">
        <f>102813201-2190651</f>
        <v>100622550</v>
      </c>
      <c r="C11" s="65">
        <f>102598252-4054450</f>
        <v>98543802</v>
      </c>
      <c r="D11" s="21">
        <f t="shared" si="0"/>
        <v>2078748</v>
      </c>
      <c r="E11" s="21">
        <f t="shared" si="1"/>
        <v>415749.60000000003</v>
      </c>
      <c r="F11" s="66">
        <f>SUM([1]Planfin2563!CL11)</f>
        <v>0</v>
      </c>
      <c r="G11" s="21">
        <v>0</v>
      </c>
      <c r="H11" s="49" t="str">
        <f t="shared" si="3"/>
        <v>เกินดุล</v>
      </c>
      <c r="I11" s="24">
        <v>2</v>
      </c>
      <c r="J11" s="79" t="s">
        <v>82</v>
      </c>
      <c r="K11" s="62" t="str">
        <f t="shared" si="4"/>
        <v>ไม่เกิน</v>
      </c>
      <c r="L11" s="81" t="s">
        <v>89</v>
      </c>
      <c r="M11" s="32">
        <v>1</v>
      </c>
      <c r="N11" s="60"/>
    </row>
    <row r="12" spans="1:14" s="39" customFormat="1" x14ac:dyDescent="0.55000000000000004">
      <c r="A12" s="78" t="s">
        <v>104</v>
      </c>
      <c r="B12" s="65">
        <f>104575320-3307320</f>
        <v>101268000</v>
      </c>
      <c r="C12" s="65">
        <f>98952500-6151000</f>
        <v>92801500</v>
      </c>
      <c r="D12" s="21">
        <f t="shared" si="0"/>
        <v>8466500</v>
      </c>
      <c r="E12" s="21">
        <f t="shared" si="1"/>
        <v>1693300</v>
      </c>
      <c r="F12" s="66">
        <v>1416100</v>
      </c>
      <c r="G12" s="21">
        <f t="shared" si="2"/>
        <v>277200</v>
      </c>
      <c r="H12" s="49" t="str">
        <f t="shared" si="3"/>
        <v>เกินดุล</v>
      </c>
      <c r="I12" s="24">
        <v>2</v>
      </c>
      <c r="J12" s="79" t="s">
        <v>82</v>
      </c>
      <c r="K12" s="62" t="str">
        <f t="shared" si="4"/>
        <v>ไม่เกิน</v>
      </c>
      <c r="L12" s="81" t="s">
        <v>89</v>
      </c>
      <c r="M12" s="38">
        <v>0</v>
      </c>
      <c r="N12" s="60"/>
    </row>
    <row r="13" spans="1:14" s="39" customFormat="1" x14ac:dyDescent="0.55000000000000004">
      <c r="A13" s="78" t="s">
        <v>34</v>
      </c>
      <c r="B13" s="65">
        <f>73495362.78-3187262.78</f>
        <v>70308100</v>
      </c>
      <c r="C13" s="65">
        <f>64913000-1906000</f>
        <v>63007000</v>
      </c>
      <c r="D13" s="21">
        <f t="shared" si="0"/>
        <v>7301100</v>
      </c>
      <c r="E13" s="21">
        <f t="shared" si="1"/>
        <v>1460220</v>
      </c>
      <c r="F13" s="66">
        <v>607500</v>
      </c>
      <c r="G13" s="21">
        <f t="shared" si="2"/>
        <v>852720</v>
      </c>
      <c r="H13" s="49" t="str">
        <f t="shared" si="3"/>
        <v>เกินดุล</v>
      </c>
      <c r="I13" s="24">
        <v>2</v>
      </c>
      <c r="J13" s="79" t="s">
        <v>82</v>
      </c>
      <c r="K13" s="62" t="str">
        <f t="shared" si="4"/>
        <v>ไม่เกิน</v>
      </c>
      <c r="L13" s="81" t="s">
        <v>89</v>
      </c>
      <c r="M13" s="38">
        <v>0</v>
      </c>
      <c r="N13" s="60"/>
    </row>
    <row r="14" spans="1:14" s="39" customFormat="1" ht="72" x14ac:dyDescent="0.55000000000000004">
      <c r="A14" s="78" t="s">
        <v>105</v>
      </c>
      <c r="B14" s="65">
        <f>72495710.1-1816910.1</f>
        <v>70678800</v>
      </c>
      <c r="C14" s="65">
        <f>74701387-4421600</f>
        <v>70279787</v>
      </c>
      <c r="D14" s="21">
        <f t="shared" si="0"/>
        <v>399013</v>
      </c>
      <c r="E14" s="21">
        <f t="shared" si="1"/>
        <v>79802.600000000006</v>
      </c>
      <c r="F14" s="66">
        <v>1630000</v>
      </c>
      <c r="G14" s="21">
        <f t="shared" si="2"/>
        <v>-1550197.4</v>
      </c>
      <c r="H14" s="49" t="str">
        <f t="shared" si="3"/>
        <v>เกินดุล</v>
      </c>
      <c r="I14" s="24">
        <v>3</v>
      </c>
      <c r="J14" s="79" t="s">
        <v>87</v>
      </c>
      <c r="K14" s="61" t="str">
        <f t="shared" si="4"/>
        <v>เกิน</v>
      </c>
      <c r="L14" s="42" t="s">
        <v>123</v>
      </c>
      <c r="M14" s="38">
        <v>0</v>
      </c>
      <c r="N14" s="60"/>
    </row>
    <row r="15" spans="1:14" s="39" customFormat="1" x14ac:dyDescent="0.55000000000000004">
      <c r="A15" s="78" t="s">
        <v>106</v>
      </c>
      <c r="B15" s="65">
        <f>79014170-3272800</f>
        <v>75741370</v>
      </c>
      <c r="C15" s="65">
        <f>77430579-4637180</f>
        <v>72793399</v>
      </c>
      <c r="D15" s="21">
        <f t="shared" si="0"/>
        <v>2947971</v>
      </c>
      <c r="E15" s="21">
        <f t="shared" si="1"/>
        <v>589594.20000000007</v>
      </c>
      <c r="F15" s="66">
        <v>589500</v>
      </c>
      <c r="G15" s="21">
        <f t="shared" si="2"/>
        <v>94.200000000069849</v>
      </c>
      <c r="H15" s="49" t="str">
        <f t="shared" si="3"/>
        <v>เกินดุล</v>
      </c>
      <c r="I15" s="24">
        <v>2</v>
      </c>
      <c r="J15" s="70" t="s">
        <v>82</v>
      </c>
      <c r="K15" s="62" t="str">
        <f t="shared" si="4"/>
        <v>ไม่เกิน</v>
      </c>
      <c r="L15" s="81" t="s">
        <v>89</v>
      </c>
      <c r="M15" s="38">
        <v>2</v>
      </c>
      <c r="N15" s="60"/>
    </row>
    <row r="16" spans="1:14" s="39" customFormat="1" ht="48" x14ac:dyDescent="0.55000000000000004">
      <c r="A16" s="78" t="s">
        <v>107</v>
      </c>
      <c r="B16" s="65">
        <f>85298155.12-3648178.74</f>
        <v>81649976.38000001</v>
      </c>
      <c r="C16" s="65">
        <f>80981312-2085900</f>
        <v>78895412</v>
      </c>
      <c r="D16" s="21">
        <f t="shared" si="0"/>
        <v>2754564.3800000101</v>
      </c>
      <c r="E16" s="21">
        <f t="shared" si="1"/>
        <v>550912.87600000203</v>
      </c>
      <c r="F16" s="66">
        <v>1800000</v>
      </c>
      <c r="G16" s="21">
        <f t="shared" si="2"/>
        <v>-1249087.123999998</v>
      </c>
      <c r="H16" s="49" t="str">
        <f t="shared" si="3"/>
        <v>เกินดุล</v>
      </c>
      <c r="I16" s="24">
        <v>3</v>
      </c>
      <c r="J16" s="70" t="s">
        <v>87</v>
      </c>
      <c r="K16" s="61" t="str">
        <f t="shared" si="4"/>
        <v>เกิน</v>
      </c>
      <c r="L16" s="42" t="s">
        <v>122</v>
      </c>
      <c r="M16" s="38">
        <v>0</v>
      </c>
      <c r="N16" s="60"/>
    </row>
    <row r="17" spans="1:16" x14ac:dyDescent="0.55000000000000004">
      <c r="A17" s="91" t="s">
        <v>24</v>
      </c>
      <c r="B17" s="45">
        <f>SUM(B6:B16)</f>
        <v>2863913281.4900002</v>
      </c>
      <c r="C17" s="45">
        <f t="shared" ref="C17:F17" si="5">SUM(C6:C16)</f>
        <v>2673354906.23</v>
      </c>
      <c r="D17" s="45">
        <f>B17-C17</f>
        <v>190558375.26000023</v>
      </c>
      <c r="E17" s="45">
        <f>D17*20%</f>
        <v>38111675.052000046</v>
      </c>
      <c r="F17" s="45">
        <f t="shared" si="5"/>
        <v>30979621</v>
      </c>
      <c r="G17" s="45">
        <f>E17-F17</f>
        <v>7132054.0520000458</v>
      </c>
      <c r="L17" s="40"/>
    </row>
    <row r="19" spans="1:16" x14ac:dyDescent="0.55000000000000004">
      <c r="F19" s="7"/>
    </row>
    <row r="20" spans="1:16" x14ac:dyDescent="0.55000000000000004">
      <c r="E20" s="7"/>
      <c r="F20" s="54"/>
      <c r="G20" s="54"/>
      <c r="I20" s="54"/>
      <c r="J20" s="54"/>
      <c r="K20" s="54"/>
      <c r="L20" s="54"/>
      <c r="M20" s="56"/>
      <c r="N20" s="54"/>
      <c r="O20" s="54"/>
      <c r="P20" s="54"/>
    </row>
    <row r="21" spans="1:16" x14ac:dyDescent="0.55000000000000004">
      <c r="E21" s="7"/>
      <c r="F21" s="55"/>
      <c r="G21" s="58"/>
      <c r="I21" s="55"/>
      <c r="K21" s="55"/>
      <c r="L21" s="55"/>
      <c r="M21" s="59"/>
      <c r="N21" s="55"/>
      <c r="O21" s="55"/>
      <c r="P21" s="55"/>
    </row>
    <row r="22" spans="1:16" x14ac:dyDescent="0.55000000000000004">
      <c r="J22" s="54"/>
    </row>
    <row r="23" spans="1:16" x14ac:dyDescent="0.55000000000000004">
      <c r="J23" s="54"/>
    </row>
    <row r="24" spans="1:16" x14ac:dyDescent="0.55000000000000004">
      <c r="J24" s="54"/>
    </row>
    <row r="25" spans="1:16" x14ac:dyDescent="0.55000000000000004">
      <c r="H25" s="3"/>
      <c r="J25" s="54"/>
    </row>
    <row r="26" spans="1:16" x14ac:dyDescent="0.55000000000000004">
      <c r="J26" s="56"/>
    </row>
    <row r="27" spans="1:16" x14ac:dyDescent="0.55000000000000004">
      <c r="J27" s="54"/>
    </row>
    <row r="28" spans="1:16" x14ac:dyDescent="0.55000000000000004">
      <c r="J28" s="54"/>
    </row>
    <row r="29" spans="1:16" x14ac:dyDescent="0.55000000000000004">
      <c r="J29" s="54"/>
    </row>
  </sheetData>
  <mergeCells count="14">
    <mergeCell ref="L3:L5"/>
    <mergeCell ref="M3:M5"/>
    <mergeCell ref="J3:J5"/>
    <mergeCell ref="A1:I1"/>
    <mergeCell ref="A3:A5"/>
    <mergeCell ref="B3:B4"/>
    <mergeCell ref="C3:C4"/>
    <mergeCell ref="D3:D4"/>
    <mergeCell ref="E3:E4"/>
    <mergeCell ref="F3:F4"/>
    <mergeCell ref="G3:G4"/>
    <mergeCell ref="I3:I5"/>
    <mergeCell ref="H3:H4"/>
    <mergeCell ref="K3:K5"/>
  </mergeCells>
  <pageMargins left="0.36" right="0.27" top="0.65" bottom="0.48"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33"/>
  <sheetViews>
    <sheetView zoomScaleNormal="100" workbookViewId="0">
      <pane xSplit="1" ySplit="1" topLeftCell="B8" activePane="bottomRight" state="frozen"/>
      <selection pane="topRight" activeCell="B1" sqref="B1"/>
      <selection pane="bottomLeft" activeCell="A2" sqref="A2"/>
      <selection pane="bottomRight" activeCell="L12" sqref="L12"/>
    </sheetView>
  </sheetViews>
  <sheetFormatPr defaultRowHeight="24" x14ac:dyDescent="0.55000000000000004"/>
  <cols>
    <col min="1" max="1" width="13.625" style="1" customWidth="1"/>
    <col min="2" max="2" width="17.125" style="1" customWidth="1"/>
    <col min="3" max="3" width="19.375" style="1" customWidth="1"/>
    <col min="4" max="4" width="15.75" style="1" customWidth="1"/>
    <col min="5" max="5" width="16.125" style="1" customWidth="1"/>
    <col min="6" max="6" width="14.125" style="1" customWidth="1"/>
    <col min="7" max="7" width="16.25" style="1" customWidth="1"/>
    <col min="8" max="8" width="11.625" style="1" customWidth="1"/>
    <col min="9" max="9" width="7.25" style="1" customWidth="1"/>
    <col min="10" max="10" width="28.625" style="1" customWidth="1"/>
    <col min="11" max="11" width="12.625" style="1" customWidth="1"/>
    <col min="12" max="12" width="47.5" style="1" customWidth="1"/>
    <col min="13" max="13" width="10" style="3" customWidth="1"/>
    <col min="14" max="16384" width="9" style="1"/>
  </cols>
  <sheetData>
    <row r="1" spans="1:13" ht="27.75" x14ac:dyDescent="0.65">
      <c r="A1" s="111" t="s">
        <v>79</v>
      </c>
      <c r="B1" s="111"/>
      <c r="C1" s="111"/>
      <c r="D1" s="111"/>
      <c r="E1" s="111"/>
      <c r="F1" s="111"/>
      <c r="G1" s="111"/>
      <c r="H1" s="111"/>
      <c r="I1" s="111"/>
    </row>
    <row r="2" spans="1:13" ht="27.75" x14ac:dyDescent="0.65">
      <c r="A2" s="12" t="s">
        <v>51</v>
      </c>
      <c r="B2" s="14"/>
      <c r="C2" s="14"/>
      <c r="D2" s="14"/>
      <c r="E2" s="15"/>
      <c r="F2" s="15"/>
      <c r="G2" s="14"/>
      <c r="H2" s="14"/>
      <c r="I2" s="23"/>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7" t="s">
        <v>12</v>
      </c>
      <c r="I5" s="105"/>
      <c r="J5" s="107"/>
      <c r="K5" s="110"/>
      <c r="L5" s="105"/>
      <c r="M5" s="105"/>
    </row>
    <row r="6" spans="1:13" x14ac:dyDescent="0.55000000000000004">
      <c r="A6" s="78" t="s">
        <v>45</v>
      </c>
      <c r="B6" s="65">
        <f>2112604200-108136200</f>
        <v>2004468000</v>
      </c>
      <c r="C6" s="65">
        <f>2038189400-158583000</f>
        <v>1879606400</v>
      </c>
      <c r="D6" s="21">
        <f>B6-C6</f>
        <v>124861600</v>
      </c>
      <c r="E6" s="21">
        <f>D6*20%</f>
        <v>24972320</v>
      </c>
      <c r="F6" s="66">
        <f>SUM([1]Planfin2563!CL6)</f>
        <v>0</v>
      </c>
      <c r="G6" s="21">
        <f>E6-F6</f>
        <v>24972320</v>
      </c>
      <c r="H6" s="49" t="str">
        <f>IF(D6&gt;0,"เกินดุล",IF(D6=0,"สมดุล","ขาดดุล"))</f>
        <v>เกินดุล</v>
      </c>
      <c r="I6" s="24">
        <v>2</v>
      </c>
      <c r="J6" s="80" t="s">
        <v>82</v>
      </c>
      <c r="K6" s="62" t="str">
        <f>IF(G6&gt;=0,"ไม่เกิน","เกิน")</f>
        <v>ไม่เกิน</v>
      </c>
      <c r="L6" s="81" t="s">
        <v>89</v>
      </c>
      <c r="M6" s="32">
        <v>1</v>
      </c>
    </row>
    <row r="7" spans="1:13" x14ac:dyDescent="0.55000000000000004">
      <c r="A7" s="78" t="s">
        <v>46</v>
      </c>
      <c r="B7" s="65">
        <f>671041318.82-7341318.82</f>
        <v>663700000</v>
      </c>
      <c r="C7" s="65">
        <f>669506500-18000-39000000</f>
        <v>630488500</v>
      </c>
      <c r="D7" s="21">
        <f t="shared" ref="D7:D17" si="0">B7-C7</f>
        <v>33211500</v>
      </c>
      <c r="E7" s="21">
        <f t="shared" ref="E7:E17" si="1">D7*20%</f>
        <v>6642300</v>
      </c>
      <c r="F7" s="66">
        <v>4910000</v>
      </c>
      <c r="G7" s="21">
        <f t="shared" ref="G7:G17" si="2">E7-F7</f>
        <v>1732300</v>
      </c>
      <c r="H7" s="49" t="str">
        <f t="shared" ref="H7:H17" si="3">IF(D7&gt;0,"เกินดุล",IF(D7=0,"สมดุล","ขาดดุล"))</f>
        <v>เกินดุล</v>
      </c>
      <c r="I7" s="24">
        <v>2</v>
      </c>
      <c r="J7" s="80" t="s">
        <v>82</v>
      </c>
      <c r="K7" s="62" t="str">
        <f t="shared" ref="K7:K17" si="4">IF(G7&gt;=0,"ไม่เกิน","เกิน")</f>
        <v>ไม่เกิน</v>
      </c>
      <c r="L7" s="81" t="s">
        <v>89</v>
      </c>
      <c r="M7" s="32">
        <v>6</v>
      </c>
    </row>
    <row r="8" spans="1:13" s="39" customFormat="1" x14ac:dyDescent="0.55000000000000004">
      <c r="A8" s="78" t="s">
        <v>47</v>
      </c>
      <c r="B8" s="65">
        <f>353415505.11-4002400</f>
        <v>349413105.11000001</v>
      </c>
      <c r="C8" s="65">
        <f>327963227.06-75354.85-71189317.15</f>
        <v>256698555.05999997</v>
      </c>
      <c r="D8" s="35">
        <f t="shared" si="0"/>
        <v>92714550.050000042</v>
      </c>
      <c r="E8" s="35">
        <f t="shared" si="1"/>
        <v>18542910.010000009</v>
      </c>
      <c r="F8" s="66">
        <f>SUM([1]Planfin2563!CL8)</f>
        <v>0</v>
      </c>
      <c r="G8" s="35">
        <f t="shared" si="2"/>
        <v>18542910.010000009</v>
      </c>
      <c r="H8" s="49" t="str">
        <f t="shared" si="3"/>
        <v>เกินดุล</v>
      </c>
      <c r="I8" s="41">
        <v>2</v>
      </c>
      <c r="J8" s="42" t="s">
        <v>82</v>
      </c>
      <c r="K8" s="62" t="str">
        <f t="shared" si="4"/>
        <v>ไม่เกิน</v>
      </c>
      <c r="L8" s="81" t="s">
        <v>89</v>
      </c>
      <c r="M8" s="38">
        <v>0</v>
      </c>
    </row>
    <row r="9" spans="1:13" s="39" customFormat="1" x14ac:dyDescent="0.55000000000000004">
      <c r="A9" s="78" t="s">
        <v>113</v>
      </c>
      <c r="B9" s="65">
        <f>117337226.46-2463926.46</f>
        <v>114873300</v>
      </c>
      <c r="C9" s="65">
        <f>119772200-4948900</f>
        <v>114823300</v>
      </c>
      <c r="D9" s="21">
        <f t="shared" si="0"/>
        <v>50000</v>
      </c>
      <c r="E9" s="21">
        <f t="shared" si="1"/>
        <v>10000</v>
      </c>
      <c r="F9" s="66">
        <f>SUM([1]Planfin2563!CL9)</f>
        <v>0</v>
      </c>
      <c r="G9" s="21">
        <f t="shared" si="2"/>
        <v>10000</v>
      </c>
      <c r="H9" s="49" t="str">
        <f t="shared" si="3"/>
        <v>เกินดุล</v>
      </c>
      <c r="I9" s="24">
        <v>2</v>
      </c>
      <c r="J9" s="80" t="s">
        <v>82</v>
      </c>
      <c r="K9" s="62" t="str">
        <f t="shared" si="4"/>
        <v>ไม่เกิน</v>
      </c>
      <c r="L9" s="81" t="s">
        <v>89</v>
      </c>
      <c r="M9" s="38">
        <v>0</v>
      </c>
    </row>
    <row r="10" spans="1:13" s="39" customFormat="1" ht="264" x14ac:dyDescent="0.55000000000000004">
      <c r="A10" s="78" t="s">
        <v>114</v>
      </c>
      <c r="B10" s="65">
        <f>119562000-6950000</f>
        <v>112612000</v>
      </c>
      <c r="C10" s="65">
        <f>108782454.85-5640000</f>
        <v>103142454.84999999</v>
      </c>
      <c r="D10" s="21">
        <f t="shared" si="0"/>
        <v>9469545.150000006</v>
      </c>
      <c r="E10" s="21">
        <f t="shared" si="1"/>
        <v>1893909.0300000012</v>
      </c>
      <c r="F10" s="66">
        <v>13500000</v>
      </c>
      <c r="G10" s="21">
        <f t="shared" si="2"/>
        <v>-11606090.969999999</v>
      </c>
      <c r="H10" s="49" t="str">
        <f t="shared" si="3"/>
        <v>เกินดุล</v>
      </c>
      <c r="I10" s="24">
        <v>3</v>
      </c>
      <c r="J10" s="80" t="s">
        <v>87</v>
      </c>
      <c r="K10" s="61" t="str">
        <f t="shared" si="4"/>
        <v>เกิน</v>
      </c>
      <c r="L10" s="42" t="s">
        <v>138</v>
      </c>
      <c r="M10" s="38">
        <v>0</v>
      </c>
    </row>
    <row r="11" spans="1:13" s="39" customFormat="1" x14ac:dyDescent="0.55000000000000004">
      <c r="A11" s="78" t="s">
        <v>48</v>
      </c>
      <c r="B11" s="65">
        <f>53151000-2800000</f>
        <v>50351000</v>
      </c>
      <c r="C11" s="65">
        <f>50970000-658800</f>
        <v>50311200</v>
      </c>
      <c r="D11" s="21">
        <f t="shared" si="0"/>
        <v>39800</v>
      </c>
      <c r="E11" s="21">
        <f t="shared" si="1"/>
        <v>7960</v>
      </c>
      <c r="F11" s="66">
        <f>SUM([1]Planfin2563!CL11)</f>
        <v>0</v>
      </c>
      <c r="G11" s="21">
        <f t="shared" si="2"/>
        <v>7960</v>
      </c>
      <c r="H11" s="49" t="str">
        <f t="shared" si="3"/>
        <v>เกินดุล</v>
      </c>
      <c r="I11" s="24">
        <v>1</v>
      </c>
      <c r="J11" s="80" t="s">
        <v>81</v>
      </c>
      <c r="K11" s="62" t="str">
        <f t="shared" si="4"/>
        <v>ไม่เกิน</v>
      </c>
      <c r="L11" s="81" t="s">
        <v>89</v>
      </c>
      <c r="M11" s="38">
        <v>0</v>
      </c>
    </row>
    <row r="12" spans="1:13" s="39" customFormat="1" ht="264" x14ac:dyDescent="0.55000000000000004">
      <c r="A12" s="78" t="s">
        <v>115</v>
      </c>
      <c r="B12" s="65">
        <f>100574573.56-1341405.47</f>
        <v>99233168.090000004</v>
      </c>
      <c r="C12" s="65">
        <f>104782363.13-4250112.73</f>
        <v>100532250.39999999</v>
      </c>
      <c r="D12" s="21">
        <f t="shared" si="0"/>
        <v>-1299082.3099999875</v>
      </c>
      <c r="E12" s="21">
        <f t="shared" si="1"/>
        <v>-259816.4619999975</v>
      </c>
      <c r="F12" s="66">
        <f>SUM([1]Planfin2563!CL12)</f>
        <v>0</v>
      </c>
      <c r="G12" s="21">
        <v>0</v>
      </c>
      <c r="H12" s="100" t="str">
        <f t="shared" si="3"/>
        <v>ขาดดุล</v>
      </c>
      <c r="I12" s="24">
        <v>6</v>
      </c>
      <c r="J12" s="80" t="s">
        <v>88</v>
      </c>
      <c r="K12" s="62" t="str">
        <f t="shared" si="4"/>
        <v>ไม่เกิน</v>
      </c>
      <c r="L12" s="42" t="s">
        <v>140</v>
      </c>
      <c r="M12" s="38">
        <v>0</v>
      </c>
    </row>
    <row r="13" spans="1:13" s="39" customFormat="1" x14ac:dyDescent="0.55000000000000004">
      <c r="A13" s="78" t="s">
        <v>116</v>
      </c>
      <c r="B13" s="65">
        <f>57067423.46-2758694.01</f>
        <v>54308729.450000003</v>
      </c>
      <c r="C13" s="65">
        <f>54199746.76-3026297.21</f>
        <v>51173449.549999997</v>
      </c>
      <c r="D13" s="21">
        <f t="shared" si="0"/>
        <v>3135279.900000006</v>
      </c>
      <c r="E13" s="21">
        <f t="shared" si="1"/>
        <v>627055.98000000126</v>
      </c>
      <c r="F13" s="66">
        <f>SUM([1]Planfin2563!CL13)</f>
        <v>0</v>
      </c>
      <c r="G13" s="21">
        <f t="shared" si="2"/>
        <v>627055.98000000126</v>
      </c>
      <c r="H13" s="49" t="str">
        <f t="shared" si="3"/>
        <v>เกินดุล</v>
      </c>
      <c r="I13" s="24">
        <v>1</v>
      </c>
      <c r="J13" s="80" t="s">
        <v>81</v>
      </c>
      <c r="K13" s="62" t="str">
        <f t="shared" si="4"/>
        <v>ไม่เกิน</v>
      </c>
      <c r="L13" s="81" t="s">
        <v>89</v>
      </c>
      <c r="M13" s="38">
        <v>0</v>
      </c>
    </row>
    <row r="14" spans="1:13" s="39" customFormat="1" x14ac:dyDescent="0.55000000000000004">
      <c r="A14" s="78" t="s">
        <v>117</v>
      </c>
      <c r="B14" s="65">
        <f>67059761.25-1778052.09</f>
        <v>65281709.159999996</v>
      </c>
      <c r="C14" s="65">
        <f>67051200-3777000</f>
        <v>63274200</v>
      </c>
      <c r="D14" s="21">
        <f t="shared" si="0"/>
        <v>2007509.1599999964</v>
      </c>
      <c r="E14" s="21">
        <f t="shared" si="1"/>
        <v>401501.8319999993</v>
      </c>
      <c r="F14" s="66">
        <f>SUM([1]Planfin2563!CL14)</f>
        <v>0</v>
      </c>
      <c r="G14" s="21">
        <f t="shared" si="2"/>
        <v>401501.8319999993</v>
      </c>
      <c r="H14" s="49" t="str">
        <f t="shared" si="3"/>
        <v>เกินดุล</v>
      </c>
      <c r="I14" s="24">
        <v>2</v>
      </c>
      <c r="J14" s="80" t="s">
        <v>82</v>
      </c>
      <c r="K14" s="62" t="str">
        <f t="shared" si="4"/>
        <v>ไม่เกิน</v>
      </c>
      <c r="L14" s="81" t="s">
        <v>89</v>
      </c>
      <c r="M14" s="38">
        <v>0</v>
      </c>
    </row>
    <row r="15" spans="1:13" s="39" customFormat="1" x14ac:dyDescent="0.55000000000000004">
      <c r="A15" s="78" t="s">
        <v>118</v>
      </c>
      <c r="B15" s="65">
        <f>110377536.27-1807536.27</f>
        <v>108570000</v>
      </c>
      <c r="C15" s="65">
        <f>118010000-10800000</f>
        <v>107210000</v>
      </c>
      <c r="D15" s="21">
        <f t="shared" si="0"/>
        <v>1360000</v>
      </c>
      <c r="E15" s="21">
        <f t="shared" si="1"/>
        <v>272000</v>
      </c>
      <c r="F15" s="66">
        <v>31300</v>
      </c>
      <c r="G15" s="21">
        <f t="shared" si="2"/>
        <v>240700</v>
      </c>
      <c r="H15" s="49" t="str">
        <f t="shared" si="3"/>
        <v>เกินดุล</v>
      </c>
      <c r="I15" s="24">
        <v>2</v>
      </c>
      <c r="J15" s="80" t="s">
        <v>82</v>
      </c>
      <c r="K15" s="62" t="str">
        <f t="shared" si="4"/>
        <v>ไม่เกิน</v>
      </c>
      <c r="L15" s="81" t="s">
        <v>89</v>
      </c>
      <c r="M15" s="38">
        <v>6</v>
      </c>
    </row>
    <row r="16" spans="1:13" s="39" customFormat="1" x14ac:dyDescent="0.55000000000000004">
      <c r="A16" s="78" t="s">
        <v>119</v>
      </c>
      <c r="B16" s="65">
        <f>115135270.29-2568970.29</f>
        <v>112566300</v>
      </c>
      <c r="C16" s="65">
        <f>114859270-4985700</f>
        <v>109873570</v>
      </c>
      <c r="D16" s="21">
        <f t="shared" si="0"/>
        <v>2692730</v>
      </c>
      <c r="E16" s="21">
        <f t="shared" si="1"/>
        <v>538546</v>
      </c>
      <c r="F16" s="66">
        <v>487555</v>
      </c>
      <c r="G16" s="21">
        <f t="shared" si="2"/>
        <v>50991</v>
      </c>
      <c r="H16" s="49" t="str">
        <f t="shared" si="3"/>
        <v>เกินดุล</v>
      </c>
      <c r="I16" s="24">
        <v>2</v>
      </c>
      <c r="J16" s="80" t="s">
        <v>82</v>
      </c>
      <c r="K16" s="62" t="str">
        <f t="shared" si="4"/>
        <v>ไม่เกิน</v>
      </c>
      <c r="L16" s="81" t="s">
        <v>89</v>
      </c>
      <c r="M16" s="38">
        <v>0</v>
      </c>
    </row>
    <row r="17" spans="1:13" x14ac:dyDescent="0.55000000000000004">
      <c r="A17" s="78" t="s">
        <v>120</v>
      </c>
      <c r="B17" s="65">
        <f>85634400-4194400</f>
        <v>81440000</v>
      </c>
      <c r="C17" s="65">
        <f>79176900-3705900</f>
        <v>75471000</v>
      </c>
      <c r="D17" s="21">
        <f t="shared" si="0"/>
        <v>5969000</v>
      </c>
      <c r="E17" s="21">
        <f t="shared" si="1"/>
        <v>1193800</v>
      </c>
      <c r="F17" s="66">
        <f>SUM([1]Planfin2563!CL17)</f>
        <v>0</v>
      </c>
      <c r="G17" s="21">
        <f t="shared" si="2"/>
        <v>1193800</v>
      </c>
      <c r="H17" s="49" t="str">
        <f t="shared" si="3"/>
        <v>เกินดุล</v>
      </c>
      <c r="I17" s="24">
        <v>2</v>
      </c>
      <c r="J17" s="80" t="s">
        <v>82</v>
      </c>
      <c r="K17" s="62" t="str">
        <f t="shared" si="4"/>
        <v>ไม่เกิน</v>
      </c>
      <c r="L17" s="81" t="s">
        <v>89</v>
      </c>
      <c r="M17" s="24">
        <v>0</v>
      </c>
    </row>
    <row r="18" spans="1:13" x14ac:dyDescent="0.55000000000000004">
      <c r="A18" s="25" t="s">
        <v>24</v>
      </c>
      <c r="B18" s="26">
        <f>SUM(B6:B17)</f>
        <v>3816817311.8099999</v>
      </c>
      <c r="C18" s="26">
        <f>SUM(C6:C17)</f>
        <v>3542604879.8600001</v>
      </c>
      <c r="D18" s="26">
        <f>B18-C18</f>
        <v>274212431.94999981</v>
      </c>
      <c r="E18" s="26">
        <f>D18*20%</f>
        <v>54842486.389999963</v>
      </c>
      <c r="F18" s="26">
        <f>SUM(F6:F17)</f>
        <v>18928855</v>
      </c>
      <c r="G18" s="26">
        <f>E18-F18</f>
        <v>35913631.389999963</v>
      </c>
      <c r="H18" s="27"/>
      <c r="I18" s="27"/>
      <c r="J18" s="27"/>
      <c r="K18" s="27"/>
      <c r="L18" s="27"/>
      <c r="M18" s="28"/>
    </row>
    <row r="20" spans="1:13" x14ac:dyDescent="0.55000000000000004">
      <c r="F20" s="7"/>
    </row>
    <row r="21" spans="1:13" x14ac:dyDescent="0.55000000000000004">
      <c r="B21" s="54"/>
      <c r="C21" s="54"/>
      <c r="D21" s="54"/>
      <c r="E21" s="54"/>
      <c r="F21" s="54"/>
      <c r="G21" s="54"/>
      <c r="H21" s="54"/>
      <c r="I21" s="54"/>
      <c r="J21" s="54"/>
      <c r="K21" s="54"/>
      <c r="L21" s="54"/>
    </row>
    <row r="22" spans="1:13" x14ac:dyDescent="0.55000000000000004">
      <c r="B22" s="55"/>
      <c r="C22" s="55"/>
      <c r="D22" s="55"/>
      <c r="E22" s="55"/>
      <c r="F22" s="55"/>
      <c r="G22" s="58"/>
      <c r="H22" s="55"/>
      <c r="I22" s="55"/>
      <c r="J22" s="55"/>
      <c r="K22" s="55"/>
      <c r="L22" s="55"/>
    </row>
    <row r="33" spans="6:7" x14ac:dyDescent="0.55000000000000004">
      <c r="F33" s="3"/>
      <c r="G33" s="3"/>
    </row>
  </sheetData>
  <mergeCells count="14">
    <mergeCell ref="L3:L5"/>
    <mergeCell ref="J3:J5"/>
    <mergeCell ref="M3:M5"/>
    <mergeCell ref="A1:I1"/>
    <mergeCell ref="A3:A5"/>
    <mergeCell ref="B3:B4"/>
    <mergeCell ref="C3:C4"/>
    <mergeCell ref="D3:D4"/>
    <mergeCell ref="E3:E4"/>
    <mergeCell ref="F3:F4"/>
    <mergeCell ref="G3:G4"/>
    <mergeCell ref="I3:I5"/>
    <mergeCell ref="H3:H4"/>
    <mergeCell ref="K3:K5"/>
  </mergeCells>
  <pageMargins left="0.44" right="0.27" top="0.42" bottom="0.18" header="0.31496062992125984" footer="0.17"/>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zoomScaleNormal="100" workbookViewId="0">
      <pane xSplit="1" ySplit="1" topLeftCell="B2" activePane="bottomRight" state="frozen"/>
      <selection pane="topRight" activeCell="B1" sqref="B1"/>
      <selection pane="bottomLeft" activeCell="A2" sqref="A2"/>
      <selection pane="bottomRight" activeCell="K12" sqref="K12"/>
    </sheetView>
  </sheetViews>
  <sheetFormatPr defaultRowHeight="24" x14ac:dyDescent="0.55000000000000004"/>
  <cols>
    <col min="1" max="1" width="13.625" style="1" customWidth="1"/>
    <col min="2" max="3" width="16.5" style="1" customWidth="1"/>
    <col min="4" max="4" width="15.625" style="1" bestFit="1" customWidth="1"/>
    <col min="5" max="5" width="16.125" style="1" customWidth="1"/>
    <col min="6" max="6" width="14.125" style="1" customWidth="1"/>
    <col min="7" max="7" width="16.25" style="1" customWidth="1"/>
    <col min="8" max="8" width="12.375" style="1" customWidth="1"/>
    <col min="9" max="9" width="7.25" style="1" customWidth="1"/>
    <col min="10" max="10" width="28.625" style="1" customWidth="1"/>
    <col min="11" max="11" width="12.375" style="1" customWidth="1"/>
    <col min="12" max="12" width="49.875" style="1" customWidth="1"/>
    <col min="13" max="13" width="9.875" style="3" customWidth="1"/>
    <col min="14" max="16384" width="9" style="1"/>
  </cols>
  <sheetData>
    <row r="1" spans="1:13" ht="27.75" x14ac:dyDescent="0.65">
      <c r="A1" s="111" t="s">
        <v>79</v>
      </c>
      <c r="B1" s="111"/>
      <c r="C1" s="111"/>
      <c r="D1" s="111"/>
      <c r="E1" s="111"/>
      <c r="F1" s="111"/>
      <c r="G1" s="111"/>
      <c r="H1" s="111"/>
      <c r="I1" s="111"/>
    </row>
    <row r="2" spans="1:13" ht="27.75" x14ac:dyDescent="0.65">
      <c r="A2" s="12" t="s">
        <v>40</v>
      </c>
      <c r="B2" s="9"/>
      <c r="C2" s="9"/>
      <c r="D2" s="9"/>
      <c r="E2" s="11"/>
      <c r="F2" s="11"/>
      <c r="G2" s="9"/>
      <c r="H2" s="9"/>
      <c r="I2" s="23"/>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6" t="s">
        <v>12</v>
      </c>
      <c r="I5" s="105"/>
      <c r="J5" s="107"/>
      <c r="K5" s="110"/>
      <c r="L5" s="105"/>
      <c r="M5" s="105"/>
    </row>
    <row r="6" spans="1:13" s="43" customFormat="1" x14ac:dyDescent="0.55000000000000004">
      <c r="A6" s="73" t="s">
        <v>41</v>
      </c>
      <c r="B6" s="74">
        <f>1099900010-14807210-450432400</f>
        <v>634660400</v>
      </c>
      <c r="C6" s="74">
        <f>1097827300-451533400-41048800</f>
        <v>605245100</v>
      </c>
      <c r="D6" s="35">
        <f>B6-C6</f>
        <v>29415300</v>
      </c>
      <c r="E6" s="44">
        <f>IF(D6&lt;=0,0,ROUNDUP((D6*20%),2))</f>
        <v>5883060</v>
      </c>
      <c r="F6" s="75">
        <v>3191786</v>
      </c>
      <c r="G6" s="35">
        <f t="shared" ref="G6:G11" si="0">E6-F6</f>
        <v>2691274</v>
      </c>
      <c r="H6" s="49" t="str">
        <f>IF(D6&gt;0,"เกินดุล",IF(D6=0,"สมดุล","ขาดดุล"))</f>
        <v>เกินดุล</v>
      </c>
      <c r="I6" s="24">
        <v>1</v>
      </c>
      <c r="J6" s="69" t="s">
        <v>81</v>
      </c>
      <c r="K6" s="62" t="str">
        <f>IF(G6&gt;=0,"ไม่เกิน","เกิน")</f>
        <v>ไม่เกิน</v>
      </c>
      <c r="L6" s="52" t="s">
        <v>89</v>
      </c>
      <c r="M6" s="38">
        <v>1</v>
      </c>
    </row>
    <row r="7" spans="1:13" s="43" customFormat="1" ht="168" x14ac:dyDescent="0.2">
      <c r="A7" s="78" t="s">
        <v>42</v>
      </c>
      <c r="B7" s="74">
        <f>339261706.56-7769800</f>
        <v>331491906.56</v>
      </c>
      <c r="C7" s="74">
        <f>384117698-28517900</f>
        <v>355599798</v>
      </c>
      <c r="D7" s="35">
        <f t="shared" ref="D7:D11" si="1">B7-C7</f>
        <v>-24107891.439999998</v>
      </c>
      <c r="E7" s="44">
        <f t="shared" ref="E7:E12" si="2">IF(D7&lt;=0,0,ROUNDUP((D7*20%),2))</f>
        <v>0</v>
      </c>
      <c r="F7" s="75">
        <f>SUM([1]Planfin2563!CL7)</f>
        <v>0</v>
      </c>
      <c r="G7" s="35">
        <v>0</v>
      </c>
      <c r="H7" s="100" t="str">
        <f t="shared" ref="H7:H11" si="3">IF(D7&gt;0,"เกินดุล",IF(D7=0,"สมดุล","ขาดดุล"))</f>
        <v>ขาดดุล</v>
      </c>
      <c r="I7" s="24">
        <v>6</v>
      </c>
      <c r="J7" s="69" t="s">
        <v>88</v>
      </c>
      <c r="K7" s="62" t="str">
        <f t="shared" ref="K7:K11" si="4">IF(G7&gt;=0,"ไม่เกิน","เกิน")</f>
        <v>ไม่เกิน</v>
      </c>
      <c r="L7" s="42" t="s">
        <v>130</v>
      </c>
      <c r="M7" s="38">
        <v>3</v>
      </c>
    </row>
    <row r="8" spans="1:13" s="43" customFormat="1" ht="72" x14ac:dyDescent="0.55000000000000004">
      <c r="A8" s="78" t="s">
        <v>95</v>
      </c>
      <c r="B8" s="74">
        <f>101124940.2-2302884.29</f>
        <v>98822055.909999996</v>
      </c>
      <c r="C8" s="74">
        <f>101925122-3171300</f>
        <v>98753822</v>
      </c>
      <c r="D8" s="35">
        <f t="shared" si="1"/>
        <v>68233.909999996424</v>
      </c>
      <c r="E8" s="44">
        <f t="shared" si="2"/>
        <v>13646.79</v>
      </c>
      <c r="F8" s="75">
        <v>633690</v>
      </c>
      <c r="G8" s="35">
        <f t="shared" si="0"/>
        <v>-620043.21</v>
      </c>
      <c r="H8" s="49" t="str">
        <f t="shared" si="3"/>
        <v>เกินดุล</v>
      </c>
      <c r="I8" s="24">
        <v>3</v>
      </c>
      <c r="J8" s="76" t="s">
        <v>87</v>
      </c>
      <c r="K8" s="61" t="str">
        <f t="shared" si="4"/>
        <v>เกิน</v>
      </c>
      <c r="L8" s="42" t="s">
        <v>127</v>
      </c>
      <c r="M8" s="38">
        <v>0</v>
      </c>
    </row>
    <row r="9" spans="1:13" s="43" customFormat="1" ht="72" x14ac:dyDescent="0.2">
      <c r="A9" s="78" t="s">
        <v>96</v>
      </c>
      <c r="B9" s="74">
        <f>82509188.09-2359188.09</f>
        <v>80150000</v>
      </c>
      <c r="C9" s="74">
        <f>81847489-2100000</f>
        <v>79747489</v>
      </c>
      <c r="D9" s="35">
        <f t="shared" si="1"/>
        <v>402511</v>
      </c>
      <c r="E9" s="44">
        <f t="shared" si="2"/>
        <v>80502.2</v>
      </c>
      <c r="F9" s="75">
        <v>500000</v>
      </c>
      <c r="G9" s="35">
        <f t="shared" si="0"/>
        <v>-419497.8</v>
      </c>
      <c r="H9" s="49" t="str">
        <f t="shared" si="3"/>
        <v>เกินดุล</v>
      </c>
      <c r="I9" s="24">
        <v>4</v>
      </c>
      <c r="J9" s="77" t="s">
        <v>80</v>
      </c>
      <c r="K9" s="61" t="str">
        <f t="shared" si="4"/>
        <v>เกิน</v>
      </c>
      <c r="L9" s="42" t="s">
        <v>128</v>
      </c>
      <c r="M9" s="38">
        <v>0</v>
      </c>
    </row>
    <row r="10" spans="1:13" s="27" customFormat="1" ht="96" x14ac:dyDescent="0.55000000000000004">
      <c r="A10" s="78" t="s">
        <v>97</v>
      </c>
      <c r="B10" s="74">
        <f>58013035.12-1481803.31</f>
        <v>56531231.809999995</v>
      </c>
      <c r="C10" s="74">
        <f>60745797.77-2423932.84</f>
        <v>58321864.930000007</v>
      </c>
      <c r="D10" s="35">
        <f t="shared" si="1"/>
        <v>-1790633.1200000122</v>
      </c>
      <c r="E10" s="44">
        <f t="shared" si="2"/>
        <v>0</v>
      </c>
      <c r="F10" s="75">
        <f>SUM([1]Planfin2563!CL10)</f>
        <v>0</v>
      </c>
      <c r="G10" s="35">
        <f t="shared" si="0"/>
        <v>0</v>
      </c>
      <c r="H10" s="100" t="str">
        <f t="shared" si="3"/>
        <v>ขาดดุล</v>
      </c>
      <c r="I10" s="24">
        <v>6</v>
      </c>
      <c r="J10" s="76" t="s">
        <v>88</v>
      </c>
      <c r="K10" s="62" t="str">
        <f t="shared" si="4"/>
        <v>ไม่เกิน</v>
      </c>
      <c r="L10" s="42" t="s">
        <v>129</v>
      </c>
      <c r="M10" s="32">
        <v>2</v>
      </c>
    </row>
    <row r="11" spans="1:13" s="27" customFormat="1" x14ac:dyDescent="0.55000000000000004">
      <c r="A11" s="73" t="s">
        <v>98</v>
      </c>
      <c r="B11" s="74">
        <f>75871419.82-1394468.37</f>
        <v>74476951.449999988</v>
      </c>
      <c r="C11" s="74">
        <f>74676149.92-3060084.11</f>
        <v>71616065.810000002</v>
      </c>
      <c r="D11" s="35">
        <f t="shared" si="1"/>
        <v>2860885.6399999857</v>
      </c>
      <c r="E11" s="44">
        <f t="shared" si="2"/>
        <v>572177.13</v>
      </c>
      <c r="F11" s="75">
        <v>541231.63</v>
      </c>
      <c r="G11" s="35">
        <f t="shared" si="0"/>
        <v>30945.5</v>
      </c>
      <c r="H11" s="49" t="str">
        <f t="shared" si="3"/>
        <v>เกินดุล</v>
      </c>
      <c r="I11" s="24">
        <v>2</v>
      </c>
      <c r="J11" s="76" t="s">
        <v>82</v>
      </c>
      <c r="K11" s="62" t="str">
        <f t="shared" si="4"/>
        <v>ไม่เกิน</v>
      </c>
      <c r="L11" s="52" t="s">
        <v>89</v>
      </c>
      <c r="M11" s="32">
        <v>0</v>
      </c>
    </row>
    <row r="12" spans="1:13" x14ac:dyDescent="0.55000000000000004">
      <c r="A12" s="25" t="s">
        <v>24</v>
      </c>
      <c r="B12" s="26">
        <f t="shared" ref="B12:F12" si="5">SUM(B6:B11)</f>
        <v>1276132545.7299998</v>
      </c>
      <c r="C12" s="26">
        <f t="shared" si="5"/>
        <v>1269284139.74</v>
      </c>
      <c r="D12" s="26">
        <f>B12-C12</f>
        <v>6848405.9899997711</v>
      </c>
      <c r="E12" s="48">
        <f t="shared" si="2"/>
        <v>1369681.2</v>
      </c>
      <c r="F12" s="26">
        <f t="shared" si="5"/>
        <v>4866707.63</v>
      </c>
      <c r="G12" s="26">
        <f>E12-F12</f>
        <v>-3497026.4299999997</v>
      </c>
      <c r="H12" s="51"/>
      <c r="I12" s="29"/>
      <c r="J12" s="30"/>
      <c r="K12" s="30"/>
      <c r="M12" s="31"/>
    </row>
    <row r="13" spans="1:13" ht="21" customHeight="1" x14ac:dyDescent="0.55000000000000004">
      <c r="I13" s="29"/>
      <c r="J13" s="30"/>
      <c r="K13" s="30"/>
      <c r="M13" s="31"/>
    </row>
    <row r="14" spans="1:13" x14ac:dyDescent="0.55000000000000004">
      <c r="F14" s="7"/>
      <c r="I14" s="27"/>
      <c r="J14" s="30"/>
      <c r="K14" s="30"/>
      <c r="M14" s="31"/>
    </row>
    <row r="15" spans="1:13" x14ac:dyDescent="0.55000000000000004">
      <c r="J15" s="30"/>
      <c r="K15" s="30"/>
      <c r="M15" s="31"/>
    </row>
    <row r="16" spans="1:13" x14ac:dyDescent="0.55000000000000004">
      <c r="J16" s="30"/>
      <c r="K16" s="30"/>
      <c r="M16" s="31"/>
    </row>
    <row r="17" spans="8:13" x14ac:dyDescent="0.55000000000000004">
      <c r="J17" s="30"/>
      <c r="K17" s="30"/>
      <c r="M17" s="31"/>
    </row>
    <row r="18" spans="8:13" x14ac:dyDescent="0.55000000000000004">
      <c r="J18" s="30"/>
      <c r="K18" s="30"/>
      <c r="M18" s="31"/>
    </row>
    <row r="19" spans="8:13" x14ac:dyDescent="0.55000000000000004">
      <c r="J19" s="30"/>
      <c r="K19" s="30"/>
      <c r="M19" s="31"/>
    </row>
    <row r="20" spans="8:13" x14ac:dyDescent="0.55000000000000004">
      <c r="J20" s="30"/>
      <c r="K20" s="30"/>
      <c r="M20" s="31"/>
    </row>
    <row r="21" spans="8:13" x14ac:dyDescent="0.55000000000000004">
      <c r="H21" s="3"/>
    </row>
  </sheetData>
  <mergeCells count="14">
    <mergeCell ref="L3:L5"/>
    <mergeCell ref="J3:J5"/>
    <mergeCell ref="M3:M5"/>
    <mergeCell ref="A1:I1"/>
    <mergeCell ref="A3:A5"/>
    <mergeCell ref="B3:B4"/>
    <mergeCell ref="C3:C4"/>
    <mergeCell ref="D3:D4"/>
    <mergeCell ref="E3:E4"/>
    <mergeCell ref="F3:F4"/>
    <mergeCell ref="G3:G4"/>
    <mergeCell ref="I3:I5"/>
    <mergeCell ref="K3:K5"/>
    <mergeCell ref="H3:H4"/>
  </mergeCells>
  <pageMargins left="0.43" right="0.3"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4"/>
  <sheetViews>
    <sheetView workbookViewId="0">
      <pane xSplit="1" ySplit="1" topLeftCell="B6" activePane="bottomRight" state="frozen"/>
      <selection pane="topRight" activeCell="B1" sqref="B1"/>
      <selection pane="bottomLeft" activeCell="A2" sqref="A2"/>
      <selection pane="bottomRight" activeCell="E10" sqref="E10"/>
    </sheetView>
  </sheetViews>
  <sheetFormatPr defaultRowHeight="24" x14ac:dyDescent="0.55000000000000004"/>
  <cols>
    <col min="1" max="1" width="13.625" style="1" customWidth="1"/>
    <col min="2" max="2" width="17.125" style="1" customWidth="1"/>
    <col min="3" max="3" width="19.375" style="1" customWidth="1"/>
    <col min="4" max="4" width="15.75" style="1" customWidth="1"/>
    <col min="5" max="5" width="16.125" style="1" customWidth="1"/>
    <col min="6" max="6" width="16.75" style="1" customWidth="1"/>
    <col min="7" max="7" width="16.25" style="1" customWidth="1"/>
    <col min="8" max="8" width="11.625" style="1" customWidth="1"/>
    <col min="9" max="9" width="7.25" style="1" customWidth="1"/>
    <col min="10" max="10" width="28.625" style="1" customWidth="1"/>
    <col min="11" max="11" width="12.625" style="1" customWidth="1"/>
    <col min="12" max="12" width="49.875" style="1" customWidth="1"/>
    <col min="13" max="13" width="9.875" style="3" customWidth="1"/>
    <col min="14" max="16384" width="9" style="1"/>
  </cols>
  <sheetData>
    <row r="1" spans="1:13" ht="27.75" x14ac:dyDescent="0.65">
      <c r="A1" s="111" t="s">
        <v>79</v>
      </c>
      <c r="B1" s="111"/>
      <c r="C1" s="111"/>
      <c r="D1" s="111"/>
      <c r="E1" s="111"/>
      <c r="F1" s="111"/>
      <c r="G1" s="111"/>
      <c r="H1" s="111"/>
      <c r="I1" s="111"/>
    </row>
    <row r="2" spans="1:13" ht="27.75" x14ac:dyDescent="0.65">
      <c r="A2" s="12" t="s">
        <v>68</v>
      </c>
      <c r="B2" s="22"/>
      <c r="C2" s="22"/>
      <c r="D2" s="22"/>
      <c r="E2" s="23"/>
      <c r="F2" s="23"/>
      <c r="G2" s="22"/>
      <c r="H2" s="22"/>
      <c r="I2" s="23"/>
    </row>
    <row r="3" spans="1:13" ht="62.25" customHeight="1" x14ac:dyDescent="0.55000000000000004">
      <c r="A3" s="106" t="s">
        <v>28</v>
      </c>
      <c r="B3" s="106" t="s">
        <v>1</v>
      </c>
      <c r="C3" s="106" t="s">
        <v>2</v>
      </c>
      <c r="D3" s="106" t="s">
        <v>3</v>
      </c>
      <c r="E3" s="103" t="s">
        <v>8</v>
      </c>
      <c r="F3" s="103" t="s">
        <v>76</v>
      </c>
      <c r="G3" s="106" t="s">
        <v>4</v>
      </c>
      <c r="H3" s="103" t="s">
        <v>7</v>
      </c>
      <c r="I3" s="103" t="s">
        <v>49</v>
      </c>
      <c r="J3" s="107" t="s">
        <v>50</v>
      </c>
      <c r="K3" s="108" t="s">
        <v>78</v>
      </c>
      <c r="L3" s="103" t="s">
        <v>77</v>
      </c>
      <c r="M3" s="103" t="s">
        <v>90</v>
      </c>
    </row>
    <row r="4" spans="1:13" x14ac:dyDescent="0.55000000000000004">
      <c r="A4" s="106"/>
      <c r="B4" s="106"/>
      <c r="C4" s="106"/>
      <c r="D4" s="106"/>
      <c r="E4" s="105"/>
      <c r="F4" s="105"/>
      <c r="G4" s="106"/>
      <c r="H4" s="105"/>
      <c r="I4" s="104"/>
      <c r="J4" s="107"/>
      <c r="K4" s="109"/>
      <c r="L4" s="104"/>
      <c r="M4" s="104"/>
    </row>
    <row r="5" spans="1:13" x14ac:dyDescent="0.55000000000000004">
      <c r="A5" s="106"/>
      <c r="B5" s="5" t="s">
        <v>9</v>
      </c>
      <c r="C5" s="5" t="s">
        <v>10</v>
      </c>
      <c r="D5" s="5" t="s">
        <v>13</v>
      </c>
      <c r="E5" s="5" t="s">
        <v>14</v>
      </c>
      <c r="F5" s="5" t="s">
        <v>11</v>
      </c>
      <c r="G5" s="5" t="s">
        <v>15</v>
      </c>
      <c r="H5" s="47" t="s">
        <v>12</v>
      </c>
      <c r="I5" s="105"/>
      <c r="J5" s="107"/>
      <c r="K5" s="110"/>
      <c r="L5" s="105"/>
      <c r="M5" s="105"/>
    </row>
    <row r="6" spans="1:13" x14ac:dyDescent="0.55000000000000004">
      <c r="A6" s="73" t="s">
        <v>69</v>
      </c>
      <c r="B6" s="4">
        <f>SUM([2]อ่างทอง!$C$2)</f>
        <v>695509587.13</v>
      </c>
      <c r="C6" s="4">
        <f>SUM([2]อ่างทอง!$C$3)</f>
        <v>654643120</v>
      </c>
      <c r="D6" s="4">
        <f>B6-C6</f>
        <v>40866467.129999995</v>
      </c>
      <c r="E6" s="4">
        <f>D6*20%</f>
        <v>8173293.425999999</v>
      </c>
      <c r="F6" s="33">
        <f>SUM([2]อ่างทอง!$C$7)</f>
        <v>0</v>
      </c>
      <c r="G6" s="4">
        <f>E6-F6</f>
        <v>8173293.425999999</v>
      </c>
      <c r="H6" s="49" t="str">
        <f>IF(D6&gt;0,"เกินดุล",IF(D6=0,"สมดุล","ขาดดุล"))</f>
        <v>เกินดุล</v>
      </c>
      <c r="I6" s="24">
        <v>2</v>
      </c>
      <c r="J6" s="82" t="s">
        <v>82</v>
      </c>
      <c r="K6" s="62" t="str">
        <f>IF(G6&gt;=0,"ไม่เกิน","เกิน")</f>
        <v>ไม่เกิน</v>
      </c>
      <c r="L6" s="52" t="s">
        <v>89</v>
      </c>
      <c r="M6" s="24">
        <v>2</v>
      </c>
    </row>
    <row r="7" spans="1:13" x14ac:dyDescent="0.55000000000000004">
      <c r="A7" s="73" t="s">
        <v>70</v>
      </c>
      <c r="B7" s="20">
        <f>SUM([2]อ่างทอง!$D$2)</f>
        <v>76246828.120000005</v>
      </c>
      <c r="C7" s="21">
        <f>SUM([2]อ่างทอง!$D$3)</f>
        <v>74570431</v>
      </c>
      <c r="D7" s="4">
        <f t="shared" ref="D7:D12" si="0">B7-C7</f>
        <v>1676397.1200000048</v>
      </c>
      <c r="E7" s="4">
        <f t="shared" ref="E7:E12" si="1">D7*20%</f>
        <v>335279.42400000099</v>
      </c>
      <c r="F7" s="33">
        <f>SUM([2]อ่างทอง!$D$7)</f>
        <v>140900</v>
      </c>
      <c r="G7" s="4">
        <f t="shared" ref="G7:G12" si="2">E7-F7</f>
        <v>194379.42400000099</v>
      </c>
      <c r="H7" s="49" t="str">
        <f t="shared" ref="H7:H12" si="3">IF(D7&gt;0,"เกินดุล",IF(D7=0,"สมดุล","ขาดดุล"))</f>
        <v>เกินดุล</v>
      </c>
      <c r="I7" s="24">
        <v>2</v>
      </c>
      <c r="J7" s="80" t="s">
        <v>82</v>
      </c>
      <c r="K7" s="62" t="str">
        <f t="shared" ref="K7:K12" si="4">IF(G7&gt;=0,"ไม่เกิน","เกิน")</f>
        <v>ไม่เกิน</v>
      </c>
      <c r="L7" s="52" t="s">
        <v>89</v>
      </c>
      <c r="M7" s="24">
        <v>1</v>
      </c>
    </row>
    <row r="8" spans="1:13" x14ac:dyDescent="0.55000000000000004">
      <c r="A8" s="73" t="s">
        <v>71</v>
      </c>
      <c r="B8" s="21">
        <f>SUM([2]อ่างทอง!$E$2)</f>
        <v>99459784.900000006</v>
      </c>
      <c r="C8" s="21">
        <f>SUM([2]อ่างทอง!$E$3)</f>
        <v>96487851.129999995</v>
      </c>
      <c r="D8" s="4">
        <f t="shared" si="0"/>
        <v>2971933.7700000107</v>
      </c>
      <c r="E8" s="4">
        <f t="shared" si="1"/>
        <v>594386.75400000217</v>
      </c>
      <c r="F8" s="33">
        <f>SUM([2]อ่างทอง!$E$7)</f>
        <v>22591.51</v>
      </c>
      <c r="G8" s="4">
        <f t="shared" si="2"/>
        <v>571795.24400000216</v>
      </c>
      <c r="H8" s="49" t="str">
        <f t="shared" si="3"/>
        <v>เกินดุล</v>
      </c>
      <c r="I8" s="24">
        <v>2</v>
      </c>
      <c r="J8" s="80" t="s">
        <v>82</v>
      </c>
      <c r="K8" s="62" t="str">
        <f t="shared" si="4"/>
        <v>ไม่เกิน</v>
      </c>
      <c r="L8" s="52" t="s">
        <v>89</v>
      </c>
      <c r="M8" s="24">
        <v>1</v>
      </c>
    </row>
    <row r="9" spans="1:13" s="27" customFormat="1" ht="192" x14ac:dyDescent="0.2">
      <c r="A9" s="78" t="s">
        <v>72</v>
      </c>
      <c r="B9" s="21">
        <f>SUM([2]อ่างทอง!$F$2)</f>
        <v>151423451.03</v>
      </c>
      <c r="C9" s="21">
        <f>SUM([2]อ่างทอง!$F$3)</f>
        <v>142662340</v>
      </c>
      <c r="D9" s="21">
        <f t="shared" si="0"/>
        <v>8761111.0300000012</v>
      </c>
      <c r="E9" s="21">
        <f t="shared" si="1"/>
        <v>1752222.2060000002</v>
      </c>
      <c r="F9" s="83">
        <f>SUM([2]อ่างทอง!$F$7)</f>
        <v>8704230</v>
      </c>
      <c r="G9" s="21">
        <f t="shared" si="2"/>
        <v>-6952007.7939999998</v>
      </c>
      <c r="H9" s="49" t="str">
        <f t="shared" si="3"/>
        <v>เกินดุล</v>
      </c>
      <c r="I9" s="24">
        <v>3</v>
      </c>
      <c r="J9" s="80" t="s">
        <v>87</v>
      </c>
      <c r="K9" s="61" t="str">
        <f t="shared" si="4"/>
        <v>เกิน</v>
      </c>
      <c r="L9" s="85" t="s">
        <v>131</v>
      </c>
      <c r="M9" s="24">
        <v>0</v>
      </c>
    </row>
    <row r="10" spans="1:13" s="27" customFormat="1" ht="216" x14ac:dyDescent="0.2">
      <c r="A10" s="78" t="s">
        <v>73</v>
      </c>
      <c r="B10" s="21">
        <f>SUM([2]อ่างทอง!$G$2)</f>
        <v>86512200</v>
      </c>
      <c r="C10" s="21">
        <f>SUM([2]อ่างทอง!$G$3)</f>
        <v>86300205</v>
      </c>
      <c r="D10" s="21">
        <f t="shared" si="0"/>
        <v>211995</v>
      </c>
      <c r="E10" s="21">
        <f t="shared" si="1"/>
        <v>42399</v>
      </c>
      <c r="F10" s="83">
        <f>SUM([2]อ่างทอง!$G$7)</f>
        <v>850000</v>
      </c>
      <c r="G10" s="21">
        <f t="shared" si="2"/>
        <v>-807601</v>
      </c>
      <c r="H10" s="49" t="str">
        <f t="shared" si="3"/>
        <v>เกินดุล</v>
      </c>
      <c r="I10" s="24">
        <v>4</v>
      </c>
      <c r="J10" s="80" t="s">
        <v>80</v>
      </c>
      <c r="K10" s="61" t="str">
        <f t="shared" si="4"/>
        <v>เกิน</v>
      </c>
      <c r="L10" s="86" t="s">
        <v>132</v>
      </c>
      <c r="M10" s="24">
        <v>1</v>
      </c>
    </row>
    <row r="11" spans="1:13" x14ac:dyDescent="0.55000000000000004">
      <c r="A11" s="73" t="s">
        <v>74</v>
      </c>
      <c r="B11" s="21">
        <f>SUM([2]อ่างทอง!$H$2)</f>
        <v>185428057.18000001</v>
      </c>
      <c r="C11" s="21">
        <f>SUM([2]อ่างทอง!$H$3)</f>
        <v>185109270.76999998</v>
      </c>
      <c r="D11" s="4">
        <f t="shared" si="0"/>
        <v>318786.41000002623</v>
      </c>
      <c r="E11" s="4">
        <f t="shared" si="1"/>
        <v>63757.282000005245</v>
      </c>
      <c r="F11" s="33">
        <f>SUM([2]อ่างทอง!$H$7)</f>
        <v>0</v>
      </c>
      <c r="G11" s="4">
        <f t="shared" si="2"/>
        <v>63757.282000005245</v>
      </c>
      <c r="H11" s="49" t="str">
        <f t="shared" si="3"/>
        <v>เกินดุล</v>
      </c>
      <c r="I11" s="24">
        <v>2</v>
      </c>
      <c r="J11" s="80" t="s">
        <v>82</v>
      </c>
      <c r="K11" s="62" t="str">
        <f t="shared" si="4"/>
        <v>ไม่เกิน</v>
      </c>
      <c r="L11" s="52" t="s">
        <v>89</v>
      </c>
      <c r="M11" s="24">
        <v>3</v>
      </c>
    </row>
    <row r="12" spans="1:13" s="39" customFormat="1" x14ac:dyDescent="0.55000000000000004">
      <c r="A12" s="73" t="s">
        <v>75</v>
      </c>
      <c r="B12" s="35">
        <f>SUM([2]อ่างทอง!$I$2)</f>
        <v>63080000</v>
      </c>
      <c r="C12" s="35">
        <f>SUM([2]อ่างทอง!$I$3)</f>
        <v>62130000</v>
      </c>
      <c r="D12" s="4">
        <f t="shared" si="0"/>
        <v>950000</v>
      </c>
      <c r="E12" s="4">
        <f t="shared" si="1"/>
        <v>190000</v>
      </c>
      <c r="F12" s="36">
        <f>SUM([2]อ่างทอง!$I$7)</f>
        <v>190000</v>
      </c>
      <c r="G12" s="4">
        <f t="shared" si="2"/>
        <v>0</v>
      </c>
      <c r="H12" s="49" t="str">
        <f t="shared" si="3"/>
        <v>เกินดุล</v>
      </c>
      <c r="I12" s="24">
        <v>2</v>
      </c>
      <c r="J12" s="80" t="s">
        <v>82</v>
      </c>
      <c r="K12" s="62" t="str">
        <f t="shared" si="4"/>
        <v>ไม่เกิน</v>
      </c>
      <c r="L12" s="52" t="s">
        <v>89</v>
      </c>
      <c r="M12" s="38">
        <v>0</v>
      </c>
    </row>
    <row r="13" spans="1:13" x14ac:dyDescent="0.55000000000000004">
      <c r="A13" s="2" t="s">
        <v>24</v>
      </c>
      <c r="B13" s="13">
        <f t="shared" ref="B13:F13" si="5">SUM(B6:B12)</f>
        <v>1357659908.3599999</v>
      </c>
      <c r="C13" s="13">
        <f t="shared" si="5"/>
        <v>1301903217.9000001</v>
      </c>
      <c r="D13" s="13">
        <f>B13-C13</f>
        <v>55756690.4599998</v>
      </c>
      <c r="E13" s="13">
        <f>D13*20%</f>
        <v>11151338.091999961</v>
      </c>
      <c r="F13" s="13">
        <f t="shared" si="5"/>
        <v>9907721.5099999998</v>
      </c>
      <c r="G13" s="13">
        <f>E13-F13</f>
        <v>1243616.5819999613</v>
      </c>
      <c r="H13" s="17"/>
      <c r="I13" s="17"/>
      <c r="J13" s="18"/>
      <c r="K13" s="18"/>
    </row>
    <row r="15" spans="1:13" x14ac:dyDescent="0.55000000000000004">
      <c r="F15" s="7"/>
    </row>
    <row r="16" spans="1:13" x14ac:dyDescent="0.55000000000000004">
      <c r="E16" s="7"/>
      <c r="F16" s="7"/>
    </row>
    <row r="17" spans="5:13" x14ac:dyDescent="0.55000000000000004">
      <c r="E17" s="7"/>
      <c r="G17" s="6"/>
      <c r="M17" s="1"/>
    </row>
    <row r="18" spans="5:13" x14ac:dyDescent="0.55000000000000004">
      <c r="H18" s="6"/>
    </row>
    <row r="24" spans="5:13" x14ac:dyDescent="0.55000000000000004">
      <c r="G24" s="3"/>
    </row>
  </sheetData>
  <mergeCells count="14">
    <mergeCell ref="M3:M5"/>
    <mergeCell ref="L3:L5"/>
    <mergeCell ref="J3:J5"/>
    <mergeCell ref="A1:I1"/>
    <mergeCell ref="A3:A5"/>
    <mergeCell ref="B3:B4"/>
    <mergeCell ref="C3:C4"/>
    <mergeCell ref="D3:D4"/>
    <mergeCell ref="E3:E4"/>
    <mergeCell ref="F3:F4"/>
    <mergeCell ref="G3:G4"/>
    <mergeCell ref="I3:I5"/>
    <mergeCell ref="H3:H4"/>
    <mergeCell ref="K3:K5"/>
  </mergeCells>
  <pageMargins left="0.33" right="0.3"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9</vt:i4>
      </vt:variant>
      <vt:variant>
        <vt:lpstr>ช่วงที่มีชื่อ</vt:lpstr>
      </vt:variant>
      <vt:variant>
        <vt:i4>2</vt:i4>
      </vt:variant>
    </vt:vector>
  </HeadingPairs>
  <TitlesOfParts>
    <vt:vector size="11" baseType="lpstr">
      <vt:lpstr>สรุปรวม</vt:lpstr>
      <vt:lpstr>นครนายก</vt:lpstr>
      <vt:lpstr>นนทบุรี</vt:lpstr>
      <vt:lpstr>ปทุมธานี</vt:lpstr>
      <vt:lpstr>อยุธยา</vt:lpstr>
      <vt:lpstr>ลพบุรี</vt:lpstr>
      <vt:lpstr>สระบุรี</vt:lpstr>
      <vt:lpstr>สิงห์บุรี</vt:lpstr>
      <vt:lpstr>อ่างทอง</vt:lpstr>
      <vt:lpstr>สระบุรี!Print_Titles</vt:lpstr>
      <vt:lpstr>อยุธยา!Print_Titles</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2020-05-13T07:32:23Z</cp:lastPrinted>
  <dcterms:created xsi:type="dcterms:W3CDTF">2017-10-27T04:24:12Z</dcterms:created>
  <dcterms:modified xsi:type="dcterms:W3CDTF">2020-05-13T07:33:21Z</dcterms:modified>
</cp:coreProperties>
</file>